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320" windowHeight="11760" activeTab="4"/>
  </bookViews>
  <sheets>
    <sheet name="Tóm tắt" sheetId="1" r:id="rId1"/>
    <sheet name="Dữ liệu theo hoạt động" sheetId="2" r:id="rId2"/>
    <sheet name="Dữ liệu cơ bản" sheetId="3" r:id="rId3"/>
    <sheet name="Vấn đề 2" sheetId="4" r:id="rId4"/>
    <sheet name="Vấn đề 3" sheetId="5" r:id="rId5"/>
    <sheet name="Vấn đề 4" sheetId="6" r:id="rId6"/>
    <sheet name="Mapping-Chi phi" sheetId="7" state="hidden" r:id="rId7"/>
    <sheet name="Mapping-Loi ich" sheetId="8" state="hidden" r:id="rId8"/>
  </sheets>
  <definedNames>
    <definedName name="_xlnm.Print_Area" localSheetId="2">'Dữ liệu cơ bản'!$A$1:$F$38</definedName>
    <definedName name="_xlnm.Print_Area" localSheetId="1">'Dữ liệu theo hoạt động'!$A$1:$F$60</definedName>
    <definedName name="_xlnm.Print_Area" localSheetId="6">'Mapping-Chi phi'!$A$1:$M$14</definedName>
    <definedName name="_xlnm.Print_Area" localSheetId="7">'Mapping-Loi ich'!$A$1:$J$18</definedName>
    <definedName name="_xlnm.Print_Area" localSheetId="0">'Tóm tắt'!$A$2:$M$38</definedName>
    <definedName name="_xlnm.Print_Area" localSheetId="3">'Vấn đề 2'!$A$1:$O$299</definedName>
    <definedName name="_xlnm.Print_Area" localSheetId="4">'Vấn đề 3'!$A$1:$O$54</definedName>
    <definedName name="_xlnm.Print_Area" localSheetId="5">'Vấn đề 4'!$A$1:$O$17</definedName>
    <definedName name="_xlnm.Print_Titles" localSheetId="2">'Dữ liệu cơ bản'!$A:$B,'Dữ liệu cơ bản'!$1:$1</definedName>
    <definedName name="_xlnm.Print_Titles" localSheetId="1">'Dữ liệu theo hoạt động'!$A:$C,'Dữ liệu theo hoạt động'!$1:$2</definedName>
    <definedName name="_xlnm.Print_Titles" localSheetId="0">'Tóm tắt'!$A:$C,'Tóm tắt'!$2:$2</definedName>
    <definedName name="_xlnm.Print_Titles" localSheetId="3">'Vấn đề 2'!$A:$C,'Vấn đề 2'!$1:$1</definedName>
    <definedName name="_xlnm.Print_Titles" localSheetId="4">'Vấn đề 3'!$A:$C,'Vấn đề 3'!$1:$1</definedName>
    <definedName name="_xlnm.Print_Titles" localSheetId="5">'Vấn đề 4'!$A:$E,'Vấn đề 4'!$1:$1</definedName>
  </definedNames>
  <calcPr fullCalcOnLoad="1"/>
</workbook>
</file>

<file path=xl/comments7.xml><?xml version="1.0" encoding="utf-8"?>
<comments xmlns="http://schemas.openxmlformats.org/spreadsheetml/2006/main">
  <authors>
    <author>PVo</author>
  </authors>
  <commentList>
    <comment ref="C7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(#software x $$$ + $$$  for data entry) x #agencies</t>
        </r>
      </text>
    </comment>
    <comment ref="D7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(1 Server x $$$ + #computer x $$$ + #scanner x $$$ ) x #agencies  </t>
        </r>
      </text>
    </comment>
    <comment ref="E7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($$$ for equipment maintainance + $$$ for info update) x #agencies </t>
        </r>
      </text>
    </comment>
    <comment ref="F7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#complaints/year x $$$ for handling &lt;= hours x salayr/hour&gt;  </t>
        </r>
      </text>
    </comment>
    <comment ref="F8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# complaints x $$$ for filing complaints by firm &lt;= hours x salary</t>
        </r>
      </text>
    </comment>
    <comment ref="G7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average weigh of </t>
        </r>
        <r>
          <rPr>
            <sz val="8"/>
            <rFont val="Tahoma"/>
            <family val="2"/>
          </rPr>
          <t>Σ (</t>
        </r>
        <r>
          <rPr>
            <sz val="8"/>
            <rFont val="Tahoma"/>
            <family val="2"/>
          </rPr>
          <t>#info/year x $$$ for publishing x % form of publication)</t>
        </r>
      </text>
    </comment>
    <comment ref="G8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% info searched x # info published x $$$ for searching</t>
        </r>
      </text>
    </comment>
    <comment ref="F14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# complaints x $$$ for filing complaints by firm &lt;= hours x salary</t>
        </r>
      </text>
    </comment>
    <comment ref="G14" authorId="0">
      <text>
        <r>
          <rPr>
            <b/>
            <sz val="8"/>
            <rFont val="Tahoma"/>
            <family val="2"/>
          </rPr>
          <t>PVo:</t>
        </r>
        <r>
          <rPr>
            <sz val="8"/>
            <rFont val="Tahoma"/>
            <family val="2"/>
          </rPr>
          <t xml:space="preserve">
= % info searched x # info published x $$$ for searching</t>
        </r>
      </text>
    </comment>
  </commentList>
</comments>
</file>

<file path=xl/sharedStrings.xml><?xml version="1.0" encoding="utf-8"?>
<sst xmlns="http://schemas.openxmlformats.org/spreadsheetml/2006/main" count="1522" uniqueCount="485">
  <si>
    <t>Issue</t>
  </si>
  <si>
    <t>Complaints</t>
  </si>
  <si>
    <t>Publishing</t>
  </si>
  <si>
    <t>Responding</t>
  </si>
  <si>
    <t>Staff cost</t>
  </si>
  <si>
    <t>Training</t>
  </si>
  <si>
    <t>IT Maintain</t>
  </si>
  <si>
    <t>Hạ tầng TT</t>
  </si>
  <si>
    <t>Duy trì IT</t>
  </si>
  <si>
    <t>Khiếu nại</t>
  </si>
  <si>
    <t>Công bố TT</t>
  </si>
  <si>
    <t>Chi phí NV</t>
  </si>
  <si>
    <t>Trả lời</t>
  </si>
  <si>
    <t>Quản lý</t>
  </si>
  <si>
    <t>Monitor</t>
  </si>
  <si>
    <t>Giam sát</t>
  </si>
  <si>
    <t>Đào tạo</t>
  </si>
  <si>
    <t>State (NN)</t>
  </si>
  <si>
    <t>Non-State (Ngoài NN)</t>
  </si>
  <si>
    <t>Vấn đề</t>
  </si>
  <si>
    <t>Management</t>
  </si>
  <si>
    <t>Database</t>
  </si>
  <si>
    <t>CSDL</t>
  </si>
  <si>
    <t>DL</t>
  </si>
  <si>
    <t>DT</t>
  </si>
  <si>
    <t>Qualitative</t>
  </si>
  <si>
    <t>Quantitative</t>
  </si>
  <si>
    <t>?</t>
  </si>
  <si>
    <t>DL/DT</t>
  </si>
  <si>
    <t>Better policy</t>
  </si>
  <si>
    <t>Note</t>
  </si>
  <si>
    <t>IT Infrus</t>
  </si>
  <si>
    <t>Planning</t>
  </si>
  <si>
    <t>Reduction of 
corruption</t>
  </si>
  <si>
    <t>Incentive for
better performance</t>
  </si>
  <si>
    <t>Protection
of right</t>
  </si>
  <si>
    <t>Trust in 
government</t>
  </si>
  <si>
    <t>Growth of 
Info sector</t>
  </si>
  <si>
    <t>CS tốt</t>
  </si>
  <si>
    <t>Bảo vệ 
quyền</t>
  </si>
  <si>
    <t>Kế hoạch</t>
  </si>
  <si>
    <t>Giảm 
tham nhũng</t>
  </si>
  <si>
    <t>Tin tưởng vào
chính phủ</t>
  </si>
  <si>
    <t>Phát triển
ngành TT</t>
  </si>
  <si>
    <t>Khuyến khích công tác tốt</t>
  </si>
  <si>
    <t>Cost of for Sector</t>
  </si>
  <si>
    <t>Chi phí cho Khu vực</t>
  </si>
  <si>
    <t>Benefit for Sector</t>
  </si>
  <si>
    <t>Lợi ích cho Khu vực</t>
  </si>
  <si>
    <t>- DL</t>
  </si>
  <si>
    <t xml:space="preserve"> DL (+re/-hour)</t>
  </si>
  <si>
    <t>Public Edu</t>
  </si>
  <si>
    <t>Reduction of
compliance/implementation cost</t>
  </si>
  <si>
    <t xml:space="preserve">Giáo dục
công chúng </t>
  </si>
  <si>
    <t>3flex</t>
  </si>
  <si>
    <t xml:space="preserve">DT </t>
  </si>
  <si>
    <t>3flex+4</t>
  </si>
  <si>
    <t>* If definition of state secret can be clarified</t>
  </si>
  <si>
    <t>Rò rỉ TT</t>
  </si>
  <si>
    <t>* Neu dinh nghia ve thong tin mat duoc xac dinh</t>
  </si>
  <si>
    <t xml:space="preserve"> </t>
  </si>
  <si>
    <t>2B</t>
  </si>
  <si>
    <t>2C</t>
  </si>
  <si>
    <t>2D</t>
  </si>
  <si>
    <t>VND</t>
  </si>
  <si>
    <t>%</t>
  </si>
  <si>
    <t>Giảm chi phí
tuân thủ/thực thi</t>
  </si>
  <si>
    <t xml:space="preserve">
VND</t>
  </si>
  <si>
    <t xml:space="preserve">
%</t>
  </si>
  <si>
    <t xml:space="preserve">
%</t>
  </si>
  <si>
    <t>Options</t>
  </si>
  <si>
    <t>Info Leaking</t>
  </si>
  <si>
    <t>2A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</si>
  <si>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</si>
  <si>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</si>
  <si>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</si>
  <si>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</si>
  <si>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</si>
  <si>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</si>
  <si>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</si>
  <si>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</si>
  <si>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</si>
  <si>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</si>
  <si>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QUESTION</t>
  </si>
  <si>
    <t>PLUG No</t>
  </si>
  <si>
    <t>REVIEW</t>
  </si>
  <si>
    <t>1,000 VND</t>
  </si>
  <si>
    <t>1000 VND</t>
  </si>
  <si>
    <t>Web</t>
  </si>
  <si>
    <t>1,000VND</t>
  </si>
  <si>
    <t>Total</t>
  </si>
  <si>
    <t>3A</t>
  </si>
  <si>
    <t>3B</t>
  </si>
  <si>
    <t>3C</t>
  </si>
  <si>
    <t>3D</t>
  </si>
  <si>
    <t>Due to no of agencies reduce
Vì số CQ cung cấp TT giảm</t>
  </si>
  <si>
    <t>Due to no of agencies increase
Vì số CQ cung cấp TT tăng</t>
  </si>
  <si>
    <t>4A</t>
  </si>
  <si>
    <t>4B</t>
  </si>
  <si>
    <t>4C</t>
  </si>
  <si>
    <t xml:space="preserve">  </t>
  </si>
  <si>
    <t>Mức lương của cán bộ có trên 20 năm công tác (6.382.500đ)</t>
  </si>
  <si>
    <t xml:space="preserve">
Bộ Lao động, Thương binh và Xã hội</t>
  </si>
  <si>
    <t>Mức lương của chuyên viên bậc 1 (hệ số 3.33): 4.743.750đ</t>
  </si>
  <si>
    <t>Nghị định 204/2004/NĐ-CP</t>
  </si>
  <si>
    <t xml:space="preserve">Tạp chí cộng sản </t>
  </si>
  <si>
    <t>Số liệu thống kê 31/12/2013</t>
  </si>
  <si>
    <t>Bộ Nội vụ</t>
  </si>
  <si>
    <t>Tổng cục Thống kê (Số đơn vị hành chính phân theo địa phương đến 31/12/2013)</t>
  </si>
  <si>
    <t xml:space="preserve"> = (49 quận + 47 thị xã + 548 huyện) X 2</t>
  </si>
  <si>
    <t xml:space="preserve"> = (1545 phường + 615 thị trấn + 
     9001 xã) x 2</t>
  </si>
  <si>
    <t xml:space="preserve">2013 GDP </t>
  </si>
  <si>
    <t xml:space="preserve">
Tỷ VNĐ</t>
  </si>
  <si>
    <t>% GDP của khu vực có vốn đầu tư nước ngoài</t>
  </si>
  <si>
    <t>Tổng cục Thống kê (31/12/2013)</t>
  </si>
  <si>
    <t>Thu từ khu vực doanh nghiệp có vốn đầu tư nước ngoài năm 2014</t>
  </si>
  <si>
    <t>Tổng thu ngân sách nhà nước năm 2014</t>
  </si>
  <si>
    <t>Bộ Tài chính, Báo cáo cân đối NSNN 2014</t>
  </si>
  <si>
    <t>% chi cho quản lý hành chính năm 2014</t>
  </si>
  <si>
    <t>Tổng chi cho quản lý hành chính năm 2014</t>
  </si>
  <si>
    <t>Tỷ VND</t>
  </si>
  <si>
    <t>Người</t>
  </si>
  <si>
    <t>Năm 2013: 700.695 tỷ đồng</t>
  </si>
  <si>
    <t>Tổng số lực lượng lao động 2013</t>
  </si>
  <si>
    <t xml:space="preserve"> - Kinh tế Nhà nước</t>
  </si>
  <si>
    <t xml:space="preserve"> - Kinh tế Ngoài nhà nước</t>
  </si>
  <si>
    <t xml:space="preserve"> - Kinh tế Khu vực có vốn đầu tư nước ngoài</t>
  </si>
  <si>
    <t>Niên giám Thống kê 2013</t>
  </si>
  <si>
    <t xml:space="preserve">% số doanh nghiệp tăng nếu cải thiện minh bạch tăng một điểm </t>
  </si>
  <si>
    <t>Báo cáo PCI năm 2008, trang xv</t>
  </si>
  <si>
    <t>% doanh nghiệp dẫn đến tăng việc làm và tăng thu ngân sách nhà nước</t>
  </si>
  <si>
    <t xml:space="preserve">
 - Bộ</t>
  </si>
  <si>
    <t>Tỷ giá hối đoái (VND/USD) hiện hành</t>
  </si>
  <si>
    <t>Nghị quyết số 01/2007/NQ-QH12</t>
  </si>
  <si>
    <t>Viện kiểm sát nhân dân tối cao</t>
  </si>
  <si>
    <t>Luật Tổ chức Viện kiểm sát Nhân dân</t>
  </si>
  <si>
    <t>Cơ quan lớn</t>
  </si>
  <si>
    <t>Một cơ quan kiểm sát nhân dân/tỉnh, thành phố</t>
  </si>
  <si>
    <t>Một cơ quan kiểm sát nhân dân/quận, huyện</t>
  </si>
  <si>
    <t>Luật Tổ chức Tòa án Nhân dân</t>
  </si>
  <si>
    <t>Một tòa án nhân dân/quận, huyện</t>
  </si>
  <si>
    <t xml:space="preserve">
Số TT</t>
  </si>
  <si>
    <t xml:space="preserve">
Các khoản mục</t>
  </si>
  <si>
    <t xml:space="preserve">
Đơn vị</t>
  </si>
  <si>
    <t xml:space="preserve">
Dữ liệu</t>
  </si>
  <si>
    <t xml:space="preserve">
Nguồn dữ liệu</t>
  </si>
  <si>
    <t xml:space="preserve">
Chú thích</t>
  </si>
  <si>
    <t xml:space="preserve">
Chi phí một giờ của viên chức nhà nước</t>
  </si>
  <si>
    <t xml:space="preserve">
Chi phí một giờ của viên chức cao cấp </t>
  </si>
  <si>
    <t xml:space="preserve">
Số lượng viên chức nhà nước</t>
  </si>
  <si>
    <t xml:space="preserve">
Số lượng khiếu nại hành chính</t>
  </si>
  <si>
    <t xml:space="preserve">
Tính toán RIA của Luật BHVBQPPL</t>
  </si>
  <si>
    <t xml:space="preserve">
Tổng số cơ quan </t>
  </si>
  <si>
    <t xml:space="preserve">
 - Cơ quan ngang bộ</t>
  </si>
  <si>
    <t xml:space="preserve">
 - Cơ quan trực thuộc chính phủ</t>
  </si>
  <si>
    <t xml:space="preserve">
 - Tổ chức trực thuộc bộ theo ngành dọc</t>
  </si>
  <si>
    <t xml:space="preserve">
 - Hội đồng nhân dân cấp tỉnh</t>
  </si>
  <si>
    <t xml:space="preserve"> 
 - Cơ quan chuyên môn thuộc UBND tỉnh</t>
  </si>
  <si>
    <t xml:space="preserve">
 - HĐND &amp; UBND cấp huyện</t>
  </si>
  <si>
    <t xml:space="preserve"> 
 - HĐND &amp; UBND cấp xã, phường, thị trấn</t>
  </si>
  <si>
    <t xml:space="preserve">
 - Văn phòng Quốc hội</t>
  </si>
  <si>
    <t xml:space="preserve">
Văn phòng Quốc hội</t>
  </si>
  <si>
    <t xml:space="preserve">
 - Viện kiểm sát nhân dân tối cao</t>
  </si>
  <si>
    <t xml:space="preserve"> 
 - Viện kiểm sát nhân dân tỉnh, thành phố</t>
  </si>
  <si>
    <t xml:space="preserve"> 
 - Viện kiểm sát nhân dân quận, huyện, thị xã</t>
  </si>
  <si>
    <t xml:space="preserve"> 
 - Tòa án nhân dân tối cao</t>
  </si>
  <si>
    <t xml:space="preserve">
 - Tòa án nhân dân tối cấp huyện</t>
  </si>
  <si>
    <t xml:space="preserve">
 - Văn phòng chủ tịch nước</t>
  </si>
  <si>
    <t xml:space="preserve">
Văn phòng chủ tịch nước</t>
  </si>
  <si>
    <t xml:space="preserve">
Người</t>
  </si>
  <si>
    <t>Cơ quan</t>
  </si>
  <si>
    <t>Doanh nghiệp</t>
  </si>
  <si>
    <t xml:space="preserve">
Doanh nghiệp 100% vốn nhà nước</t>
  </si>
  <si>
    <t xml:space="preserve">
DỮ LIỆU TÍNH TOÁN LỢI ÍCH</t>
  </si>
  <si>
    <t>Mức lương trung bình năm 2014 của DNNN (7 triệu đồng)</t>
  </si>
  <si>
    <t xml:space="preserve"> = 64 x (kho bạc + thuế + công an + quân đội) + 32 đơn vị hải quân</t>
  </si>
  <si>
    <t xml:space="preserve"> = 64x16 sở/tỉnh + 2 (HN/HCM sở kiến trúc) + 31 sở ngoại vụ + 51 ban dân tốc + 64 UBND tỉnh</t>
  </si>
  <si>
    <t xml:space="preserve">
% yêu cầu giảm hàng năm</t>
  </si>
  <si>
    <t xml:space="preserve">
Lương cho 1 cán bộ tham gia tập huấn/giờ</t>
  </si>
  <si>
    <t xml:space="preserve">
% thời gian tìm kiếm TT giảm </t>
  </si>
  <si>
    <t xml:space="preserve">
Giờ</t>
  </si>
  <si>
    <t xml:space="preserve">
Theo tính toán</t>
  </si>
  <si>
    <t>Tổng số doanh nghiệp năm 2012</t>
  </si>
  <si>
    <t>Số DN có vốn trên 200 tỷ đồng</t>
  </si>
  <si>
    <t>Tổng cục Thống kê, Báo cáo doanh 
nghiệp (trang 284)</t>
  </si>
  <si>
    <t>Tổng cục Thống kê, Báo cáo doanh 
nghiệp (trang 284) và tự tính toán</t>
  </si>
  <si>
    <r>
      <t xml:space="preserve">
</t>
    </r>
    <r>
      <rPr>
        <b/>
        <sz val="10"/>
        <color indexed="12"/>
        <rFont val="Arial"/>
        <family val="2"/>
      </rPr>
      <t>Ghi chú</t>
    </r>
  </si>
  <si>
    <t>Nghị định 204/2004/NĐ-CP; Mức lương cán bộ 10 năm công tác (4.787.225)</t>
  </si>
  <si>
    <t xml:space="preserve">
Hoạt động</t>
  </si>
  <si>
    <t xml:space="preserve">
CHI PHÍ</t>
  </si>
  <si>
    <t xml:space="preserve">
Cơ sở dữ liệu</t>
  </si>
  <si>
    <t xml:space="preserve">
Thời gian nhập dữ liệu (tính theo đơn vị tuần làm việc của 1 người)</t>
  </si>
  <si>
    <t xml:space="preserve">
Tuần/
người</t>
  </si>
  <si>
    <t xml:space="preserve">
Do nhóm soạn thảo luật BTP ước tính</t>
  </si>
  <si>
    <t xml:space="preserve">
Chi phí trả cho 1 cán bộ thực hiện nhập dữ liệu trong 1 tuần</t>
  </si>
  <si>
    <t xml:space="preserve">
Cơ sở hạ tầng CNTT (năm đầu)</t>
  </si>
  <si>
    <t xml:space="preserve">
Chi phí cho phần mềm của 1 cơ quan</t>
  </si>
  <si>
    <t xml:space="preserve">
Số lượng máy tính cần có của 1 cơ quan</t>
  </si>
  <si>
    <t xml:space="preserve">
Cái</t>
  </si>
  <si>
    <t xml:space="preserve">
Chi phí cho 1 máy tính </t>
  </si>
  <si>
    <t xml:space="preserve">
Số lượng máy chủ (server) cần thiết</t>
  </si>
  <si>
    <t xml:space="preserve">
Chi phí cho 1 máy chủ (server)</t>
  </si>
  <si>
    <t xml:space="preserve">
Tổng chi phí phần mềm &amp; phần cứng/CQ</t>
  </si>
  <si>
    <t xml:space="preserve">
Duy trì cơ sở hạ tầng CNTT</t>
  </si>
  <si>
    <t xml:space="preserve">
% của chi phí cho phần cứng và phần mềm</t>
  </si>
  <si>
    <t xml:space="preserve">
Tuân thủ</t>
  </si>
  <si>
    <t xml:space="preserve">
% khiếu nại trong tổng số yêu cầu</t>
  </si>
  <si>
    <t xml:space="preserve">
Kinh nghiệm quốc tế &amp; ước tính của nhóm soạn thảo luật của Bộ tư pháp</t>
  </si>
  <si>
    <t xml:space="preserve">
Thời gian cần thiết để xử lý khiếu nại (tính theo giờ)</t>
  </si>
  <si>
    <t xml:space="preserve">
Thời gian doanh nghiệp &amp; người dân bỏ ra để phản ánh khiếu nại</t>
  </si>
  <si>
    <t xml:space="preserve">
Công bố thông tin</t>
  </si>
  <si>
    <t xml:space="preserve">
Chi phí thiết lập 1 website (năm đầu)</t>
  </si>
  <si>
    <t xml:space="preserve">
Chi phí cho tên miền (năm đầu tiên)</t>
  </si>
  <si>
    <t xml:space="preserve">
Các chi phí khác cho website (năm đầu)</t>
  </si>
  <si>
    <t xml:space="preserve">
Chi phí thường niên cho nhân viên duy trì website </t>
  </si>
  <si>
    <t xml:space="preserve">
Các chi phí hoạt động khác (liên tục)</t>
  </si>
  <si>
    <t xml:space="preserve">
Chi phí cho nhân viên</t>
  </si>
  <si>
    <t xml:space="preserve">
Giải quyết yêu cầu</t>
  </si>
  <si>
    <t xml:space="preserve">
Số lượng yêu cầu trong 1 năm</t>
  </si>
  <si>
    <t xml:space="preserve">
Yêu cầu</t>
  </si>
  <si>
    <t xml:space="preserve">
Thời gian cần thiết để giải quyết 1 yêu cầu</t>
  </si>
  <si>
    <t xml:space="preserve">
Tiền lương cho công chức, cán bộ tính theo giờ</t>
  </si>
  <si>
    <t xml:space="preserve">
Giá trị của một giờ đối với người yêu cầu</t>
  </si>
  <si>
    <t xml:space="preserve">
Quản lý</t>
  </si>
  <si>
    <t xml:space="preserve">
Cán bộ quản lý ở cơ quan lớn, số người/năm (năm 1)</t>
  </si>
  <si>
    <t xml:space="preserve">
Cán bộ quản lý ở cơ quan nhỏ, số người/năm (năm 1)</t>
  </si>
  <si>
    <t xml:space="preserve">
Cán bộ quản lý ở cơ quan lớn, số người/năm (năm 2,…)</t>
  </si>
  <si>
    <t xml:space="preserve">
Cán bộ quản lý ở cơ quan nhỏ, số người/năm (năm 2,…)</t>
  </si>
  <si>
    <t xml:space="preserve">
Lương cho 1 cán bộ quản lý/năm</t>
  </si>
  <si>
    <t xml:space="preserve">
Tập huấn</t>
  </si>
  <si>
    <t xml:space="preserve">
Số giờ tập huấn cho mỗi cán bộ</t>
  </si>
  <si>
    <t xml:space="preserve">
Số lượng người tham gia 1 khóa tập huấn</t>
  </si>
  <si>
    <t xml:space="preserve">
Chi phí cho cán bộ giảng dạy/giờ</t>
  </si>
  <si>
    <t xml:space="preserve">
Số lượng người phải đi lại để tham gia tập huấn</t>
  </si>
  <si>
    <t xml:space="preserve">
Chi phí đi lại của 1 người</t>
  </si>
  <si>
    <t xml:space="preserve">
Chi phí đào tạo lại (tính theo % của chi phí đào tạo ban đầu)</t>
  </si>
  <si>
    <t xml:space="preserve">
Các chi phí khác cho 1 khóa tập huấn</t>
  </si>
  <si>
    <t xml:space="preserve">
Số lượng người được tập huấn trong 1 cơ quan lớn</t>
  </si>
  <si>
    <t xml:space="preserve">
Cơ quan</t>
  </si>
  <si>
    <t xml:space="preserve">
Số lượng người được tập huấn trong 1 cơ quan nhỏ</t>
  </si>
  <si>
    <t xml:space="preserve">
Số lượng cơ quan nhỏ</t>
  </si>
  <si>
    <t xml:space="preserve">
Giáo dục công chúng</t>
  </si>
  <si>
    <t xml:space="preserve">
Số liệu tham khảo khác</t>
  </si>
  <si>
    <t xml:space="preserve">
Số lượng trang mạng đang hoạt động</t>
  </si>
  <si>
    <t xml:space="preserve">
Thời gian tiết kiệm được cho viên chức nhà nước</t>
  </si>
  <si>
    <t xml:space="preserve">
Thời gian tìm TT của viên chức CP/năm</t>
  </si>
  <si>
    <t xml:space="preserve">
Thời gian tiết kiệm được cho doanh nghiệp</t>
  </si>
  <si>
    <t xml:space="preserve">
Số lượng doanh nghiệp lớn</t>
  </si>
  <si>
    <t xml:space="preserve">
Thời gian tìm DN lớn/năm (5h/ngày)</t>
  </si>
  <si>
    <t xml:space="preserve">
Giả định</t>
  </si>
  <si>
    <t xml:space="preserve">
Số lượng doanh nghiệp vừa và nhỏ</t>
  </si>
  <si>
    <t xml:space="preserve">
Thời gian tìm TT của DN nhỏ/năm (1h/ngày)</t>
  </si>
  <si>
    <t xml:space="preserve">
Giả định = 30% của DN lớn</t>
  </si>
  <si>
    <t xml:space="preserve">
Số lượng viên chức nhà nước </t>
  </si>
  <si>
    <t>Kinh nghiệm từ Anh (15 tiếng); úc (60 tiếng)</t>
  </si>
  <si>
    <t>Tổng cộng</t>
  </si>
  <si>
    <t>Năm 1</t>
  </si>
  <si>
    <t>Năm 2</t>
  </si>
  <si>
    <t>Năm 3</t>
  </si>
  <si>
    <t>Năm 4</t>
  </si>
  <si>
    <t>Năm 5</t>
  </si>
  <si>
    <t>Năm 6</t>
  </si>
  <si>
    <t>Năm 7</t>
  </si>
  <si>
    <t>Năm 8</t>
  </si>
  <si>
    <t>Năm 9</t>
  </si>
  <si>
    <t>Năm 10</t>
  </si>
  <si>
    <t>Trang web</t>
  </si>
  <si>
    <t xml:space="preserve">
TỔNG CHI PHÍ PHƯƠNG ÁN 2A</t>
  </si>
  <si>
    <t>Trang mạng</t>
  </si>
  <si>
    <t xml:space="preserve">Khiếu nại và giải quyết khiếu nại </t>
  </si>
  <si>
    <t xml:space="preserve">
TỔNG CHI PHÍ PHƯƠNG ÁN 2B</t>
  </si>
  <si>
    <t>Khoá</t>
  </si>
  <si>
    <t xml:space="preserve">
Chi phí của các Phương án cho Vấn đề 2</t>
  </si>
  <si>
    <t xml:space="preserve">
Số lượng cơ quan lớn (bộ, ngang bộ, trực thuộc chính phủ)</t>
  </si>
  <si>
    <t xml:space="preserve">
Số lượng cơ quan nhỏ (tổng số - số cơ quan lớn)</t>
  </si>
  <si>
    <t xml:space="preserve"> 
Số lượng trang mạng đang hoạt động</t>
  </si>
  <si>
    <t xml:space="preserve">
Cơ sở dữ liệu: Không phát sinh vì đã có mạng</t>
  </si>
  <si>
    <t xml:space="preserve">
Cơ sở hạ tầng CNTT (năm đầu): Không phát sinh</t>
  </si>
  <si>
    <t xml:space="preserve">
Duy trì cơ sở hạ tầng CNTT </t>
  </si>
  <si>
    <t xml:space="preserve">
Trong đó, chi phí giải quyết khiếu nại cho nhà nước</t>
  </si>
  <si>
    <t xml:space="preserve">
Trong đó, chi phí khiếu nại của người dân</t>
  </si>
  <si>
    <t xml:space="preserve">
Khiếu nại</t>
  </si>
  <si>
    <t xml:space="preserve">
Thời gian doanh nghiệp &amp; người dân để khiếu nại </t>
  </si>
  <si>
    <t xml:space="preserve">
Chi phí một giờ của viên chức cao cấp</t>
  </si>
  <si>
    <t xml:space="preserve">
Giá trị của một giờ đối với người khiếu nại</t>
  </si>
  <si>
    <t xml:space="preserve">
Trong đó, chi phí giải quyết yêu cầu cho nhà nước</t>
  </si>
  <si>
    <t xml:space="preserve">
Chi phí một giờ của viên chức cấp trung</t>
  </si>
  <si>
    <t xml:space="preserve">
Quản lý: Không có chi phí phát sinh</t>
  </si>
  <si>
    <t xml:space="preserve">
Tập huấn: Không có chi phí phát sinh</t>
  </si>
  <si>
    <t xml:space="preserve">
TỔNG CHI PHÍ CHO NHÀ NƯỚC</t>
  </si>
  <si>
    <t xml:space="preserve"> 
Tổng chi phí cho websites</t>
  </si>
  <si>
    <t xml:space="preserve">
Số lượng cơ quan lớn</t>
  </si>
  <si>
    <t>Agency
Cơ quan</t>
  </si>
  <si>
    <t xml:space="preserve">
Số lượng cơ quan nhỏ       </t>
  </si>
  <si>
    <t>Database 
Cơ sở dữ liệu</t>
  </si>
  <si>
    <t xml:space="preserve">
Thời gian nhập dữ liệu (tính theo đơn vị tuần làm việc)</t>
  </si>
  <si>
    <t xml:space="preserve">
Chi phí trả cho 1 tuần thực hiện nhập dữ liệu </t>
  </si>
  <si>
    <t xml:space="preserve">
Số lượng cơ quan lớn &amp; nhỏ </t>
  </si>
  <si>
    <t xml:space="preserve">
Tổng chi phí phần mềm cấp quốc gia/ 3 bộ ($100.000)</t>
  </si>
  <si>
    <t xml:space="preserve">
Số lượng cơ quan không có websites</t>
  </si>
  <si>
    <t xml:space="preserve">
Số lượng các cơ quan lớn &amp; nhỏ</t>
  </si>
  <si>
    <t xml:space="preserve">
Số lượng trang mạng</t>
  </si>
  <si>
    <t xml:space="preserve">
Trong đó, chi phí tuân thủ cho nhà nước</t>
  </si>
  <si>
    <t xml:space="preserve"> 
Yêu cầu</t>
  </si>
  <si>
    <t xml:space="preserve">
Chi phí một giờ của viên chức bộ</t>
  </si>
  <si>
    <t xml:space="preserve">
Số lượng yêu cầu trong 1 năm </t>
  </si>
  <si>
    <t xml:space="preserve">
Số giờ cần thiết để chuẩn bị và nộp yêu cầu </t>
  </si>
  <si>
    <t xml:space="preserve">
Cán bộ quản lý ở cơ quan lớn (năm 1)</t>
  </si>
  <si>
    <t xml:space="preserve">
Người/năm</t>
  </si>
  <si>
    <t xml:space="preserve">
Cán bộ quản lý ở cơ quan nhỏ (năm 1)</t>
  </si>
  <si>
    <t xml:space="preserve">
Cán bộ quản lý ở cơ quan lớn (năm 2,…)</t>
  </si>
  <si>
    <t xml:space="preserve">
Cán bộ quản lý ở cơ quan nhỏ (năm 2,…)</t>
  </si>
  <si>
    <t xml:space="preserve">
Tập huấn: </t>
  </si>
  <si>
    <t xml:space="preserve">
Tổng số khóa học (= Tổng số người/số người 1 khóa)</t>
  </si>
  <si>
    <t xml:space="preserve">
Tổng số giờ giảng dạy của các khóa học</t>
  </si>
  <si>
    <t xml:space="preserve">
% phải đào tạo lại hàng năm </t>
  </si>
  <si>
    <t xml:space="preserve"> 
Các chi phí khác cho 1 khóa tập huấn</t>
  </si>
  <si>
    <t xml:space="preserve">
Tổng chi phí cho websites</t>
  </si>
  <si>
    <t>Unit 
Đơn vị</t>
  </si>
  <si>
    <t xml:space="preserve">
Tuần
</t>
  </si>
  <si>
    <t>Anh: 20 yêu cầu/tuần, 5 khiếu nại/5 năm</t>
  </si>
  <si>
    <t xml:space="preserve">
Số lượng yêu cầu cung cấp thông tin với cơ quan lớn/năm (hiện tại) </t>
  </si>
  <si>
    <t>Giả định: 20 yêu cầu/tuần/cơ quan lớn</t>
  </si>
  <si>
    <t>Giả định: 2 yêu cầu/tuần/cơ quan nhỏ</t>
  </si>
  <si>
    <t>Số lượng yêu cầu thông tin trong 1 năm (giả thiết: 20 yêu cầu/tuần/CQ lớn, 2 yêu cầu/tuần/CQ nhỏ)</t>
  </si>
  <si>
    <t xml:space="preserve">
Thời gian cần thiết để xử lý một khiếu nại của cơ quan nhà nước</t>
  </si>
  <si>
    <t xml:space="preserve">
Thời gian cần thiết để giải quyết 1 yêu cầu cung cấp thông tin</t>
  </si>
  <si>
    <t xml:space="preserve">
Thời gian cần thiết để chuẩn bị và nộp yêu cầu cung cấp thông tin </t>
  </si>
  <si>
    <t>Chi phí một giờ của một viên chức nhà nước</t>
  </si>
  <si>
    <t xml:space="preserve">
Giá trị của một giờ của một người yêu cầu thông tin</t>
  </si>
  <si>
    <t>Cán bộ của CQ nhỏ (50%)</t>
  </si>
  <si>
    <t>Tổng</t>
  </si>
  <si>
    <t>CQ nhỏ</t>
  </si>
  <si>
    <t>CQ lớn</t>
  </si>
  <si>
    <t>Tổng số cơ quan lớn (phương án dự thảo)</t>
  </si>
  <si>
    <t xml:space="preserve">
Tuyên truyền qua tờ rơi (20.000đ x 500.000 tờ)</t>
  </si>
  <si>
    <t xml:space="preserve">
Tuyên truyền qua truyền hình (80 triệu x 65)</t>
  </si>
  <si>
    <t xml:space="preserve">
Tuyên truyền qua radio (10 triệu x 65)</t>
  </si>
  <si>
    <t xml:space="preserve">
TỔNG CHI PHÍ CHO NGƯỜI DÂN, DOANH NGHIỆP</t>
  </si>
  <si>
    <t xml:space="preserve">
Các cơ quan cung cấp thông tin: Phương án 2B + VPQH, TAND các cấp, Viện KSND các cấp và Kiểm toán Nhà nước, VPCTC</t>
  </si>
  <si>
    <t xml:space="preserve">
Các cơ quan cung cấp thông tin: Phương án 2C + Doanh nghiệp nhà nước</t>
  </si>
  <si>
    <t xml:space="preserve">
Tuyên truyền qua truyền hình (80 triệu đồng x 65)</t>
  </si>
  <si>
    <t xml:space="preserve">
Tuyên truyền qua radio (10 triệu đồng x 65)</t>
  </si>
  <si>
    <t xml:space="preserve">
Trong đó, chi phí chuẩn bị yêu cầu của người dân</t>
  </si>
  <si>
    <t xml:space="preserve">
LỢI ÍCH</t>
  </si>
  <si>
    <t xml:space="preserve">
Số lượng cơ quan nhỏ                     </t>
  </si>
  <si>
    <t xml:space="preserve">
Trong đó, chi phí tuân thủ cho người dân, doanh nghiệp</t>
  </si>
  <si>
    <t xml:space="preserve">
Tổng chi phí phần mềm cấp quốc gia/ 3 bộ (100.000$)</t>
  </si>
  <si>
    <t xml:space="preserve">
Tổng số cơ quan lớn &amp; nhỏ</t>
  </si>
  <si>
    <t xml:space="preserve">
Tổng số cơ quan lớn &amp; nhỏ </t>
  </si>
  <si>
    <t xml:space="preserve">
Số lượng yêu cầu trong 1 năm (giảm 80% so với Phương án 2A, vì nhà nước chủ động cung cấp thông tin)                 </t>
  </si>
  <si>
    <t xml:space="preserve">
Số lượng yêu cầu trong 1 năm (giảm 85% so với Phương án 2A vì nhà nước chủ động cung cấp thông tin)              </t>
  </si>
  <si>
    <t xml:space="preserve">
Trong đó, chi phí giải quyết yêu cầu của nhà nước</t>
  </si>
  <si>
    <t xml:space="preserve">
Tổng số khóa học (Tổng số người/số người 1 khóa)</t>
  </si>
  <si>
    <t xml:space="preserve">
% chi phí đào tạo lại hàng năm </t>
  </si>
  <si>
    <t xml:space="preserve">
TỔNG CHI PHÍ CHO PHƯƠNG ÁN 2C</t>
  </si>
  <si>
    <t xml:space="preserve">
TỔNG CHI PHÍ NHÀ NƯỚC CHO PHƯƠNG ÁN 2C</t>
  </si>
  <si>
    <t xml:space="preserve">
TỔNG CHI PHÍ DOANH NGHIỆP, NGƯỜI DÂN CHO PHƯƠNG ÁN 2C</t>
  </si>
  <si>
    <t>Khoá học</t>
  </si>
  <si>
    <t xml:space="preserve">  
% khiếu nại trong tổng số yêu cầu</t>
  </si>
  <si>
    <t xml:space="preserve">
Trong đó, chi phí chuẩn bị yêu cầu của người dân, doanh nghiệp</t>
  </si>
  <si>
    <t xml:space="preserve">
Trong đó, chi phí chuẩn bị yêu cầu của người dân, DN</t>
  </si>
  <si>
    <t xml:space="preserve">
Trong đó, chi phí chuẩn bị yêu cầu của người dân, DN</t>
  </si>
  <si>
    <t xml:space="preserve">
Số lượng yêu cầu trong 1 năm (giảm 85% so với Phương án 2A vì nhà nước chủ động cung cấp thông tin)           </t>
  </si>
  <si>
    <t xml:space="preserve">
TỔNG CHI PHÍ CHO PHƯƠNG ÁN 2D</t>
  </si>
  <si>
    <t xml:space="preserve">
TỔNG CHI PHÍ NHÀ NƯỚC CHO PHƯƠNG ÁN 2D</t>
  </si>
  <si>
    <t xml:space="preserve">
TỔNG CHI PHÍ CHO PHƯƠNG ÁN 2D CỦA NGƯỜI DÂN, DOANH NGHIỆP</t>
  </si>
  <si>
    <t xml:space="preserve">
Tổng chi phí cho websites  </t>
  </si>
  <si>
    <t xml:space="preserve">
Lợi ích của các Phương án cho Vấn đề 2</t>
  </si>
  <si>
    <t xml:space="preserve">
Số lượng cơ quan nhỏ                  </t>
  </si>
  <si>
    <t xml:space="preserve"> 
% giảm của tác động so sánh với phương án 2C</t>
  </si>
  <si>
    <t xml:space="preserve">
TỔNG CỘNG LỢI ÍCH CHO PHƯƠNG ÁN 2B</t>
  </si>
  <si>
    <t xml:space="preserve">
TỔNG LỢI ÍCH NHÀ NƯỚC CHO PHƯƠNG ÁN 2B</t>
  </si>
  <si>
    <t xml:space="preserve">
TỔNG LỢI ÍCH NGOÀI QD CHO PHƯƠNG ÁN 2B</t>
  </si>
  <si>
    <t xml:space="preserve">
Cơ quan cung cấp thông tin gồm:</t>
  </si>
  <si>
    <t xml:space="preserve">
Số lượng cơ quan nhỏ                    </t>
  </si>
  <si>
    <t xml:space="preserve">
Giảm thời gian tìm kiếm thông tin</t>
  </si>
  <si>
    <t xml:space="preserve">
Giảm thời gian tìm kiếm thông tin cho chính phủ </t>
  </si>
  <si>
    <t xml:space="preserve">
% viên chức có nhu cầu tìm kiếm thông tin</t>
  </si>
  <si>
    <t xml:space="preserve">
% thời gian tìm kiếm TT giảm</t>
  </si>
  <si>
    <t xml:space="preserve">
Thời gian tìm TT của doanh nghiệp lớn/năm</t>
  </si>
  <si>
    <t xml:space="preserve">
Thời gian tìm TT của doanh nghiệp nhỏ/năm</t>
  </si>
  <si>
    <t xml:space="preserve">
Giá trị của một giờ đối với nhân viên một công ty</t>
  </si>
  <si>
    <t xml:space="preserve">
TỔNG LỢI ÍCH</t>
  </si>
  <si>
    <t xml:space="preserve">
TỔNG LỢI ÍCH NHÀ NƯỚC CHO PHƯƠNG ÁN 2C</t>
  </si>
  <si>
    <t xml:space="preserve">
% tăng tác động so sánh với phương án 2C</t>
  </si>
  <si>
    <t xml:space="preserve">
TỔNG LỢI ÍCH NHÀ NƯỚC CHO PHƯƠNG ÁN 2D</t>
  </si>
  <si>
    <t>Increase 5%/year due to inflation</t>
  </si>
  <si>
    <t>Increase 5% due to inflation
2nd year = 30% of 1st year</t>
  </si>
  <si>
    <t xml:space="preserve">Số lượng yêu cầu trong 1 năm (giảm 85% so với Phương án 2A vì nhà nước chủ động cung cấp thông tin)              </t>
  </si>
  <si>
    <t xml:space="preserve">
DN</t>
  </si>
  <si>
    <r>
      <t xml:space="preserve">
</t>
    </r>
    <r>
      <rPr>
        <b/>
        <sz val="10"/>
        <color indexed="12"/>
        <rFont val="Arial"/>
        <family val="2"/>
      </rPr>
      <t>Phương án</t>
    </r>
  </si>
  <si>
    <r>
      <t xml:space="preserve">
</t>
    </r>
    <r>
      <rPr>
        <b/>
        <sz val="10"/>
        <color indexed="12"/>
        <rFont val="Arial"/>
        <family val="2"/>
      </rPr>
      <t xml:space="preserve">Tóm tắt </t>
    </r>
    <r>
      <rPr>
        <b/>
        <sz val="10"/>
        <color indexed="12"/>
        <rFont val="Arial"/>
        <family val="2"/>
      </rPr>
      <t>Chi phí &amp; Lợi ích</t>
    </r>
  </si>
  <si>
    <r>
      <t xml:space="preserve">
</t>
    </r>
    <r>
      <rPr>
        <sz val="10"/>
        <color indexed="12"/>
        <rFont val="Arial"/>
        <family val="2"/>
      </rPr>
      <t>Chi phí</t>
    </r>
  </si>
  <si>
    <r>
      <t xml:space="preserve">
  </t>
    </r>
    <r>
      <rPr>
        <sz val="10"/>
        <color indexed="12"/>
        <rFont val="Arial"/>
        <family val="2"/>
      </rPr>
      <t>Chi phí của nhà nước</t>
    </r>
  </si>
  <si>
    <r>
      <t xml:space="preserve">
  </t>
    </r>
    <r>
      <rPr>
        <sz val="10"/>
        <color indexed="12"/>
        <rFont val="Arial"/>
        <family val="2"/>
      </rPr>
      <t>Chi phí của người dân, doanh nghiệp</t>
    </r>
  </si>
  <si>
    <r>
      <t xml:space="preserve">
</t>
    </r>
    <r>
      <rPr>
        <sz val="10"/>
        <color indexed="12"/>
        <rFont val="Arial"/>
        <family val="2"/>
      </rPr>
      <t>Lợi ích</t>
    </r>
  </si>
  <si>
    <r>
      <t xml:space="preserve">
</t>
    </r>
    <r>
      <rPr>
        <b/>
        <i/>
        <sz val="10"/>
        <color indexed="12"/>
        <rFont val="Arial"/>
        <family val="2"/>
      </rPr>
      <t>Chi phí cho Websites</t>
    </r>
  </si>
  <si>
    <r>
      <t xml:space="preserve">
</t>
    </r>
    <r>
      <rPr>
        <sz val="10"/>
        <color indexed="12"/>
        <rFont val="Arial"/>
        <family val="2"/>
      </rPr>
      <t>Chi phí cho websites phương án 2A</t>
    </r>
  </si>
  <si>
    <r>
      <t xml:space="preserve">
</t>
    </r>
    <r>
      <rPr>
        <sz val="10"/>
        <color indexed="12"/>
        <rFont val="Arial"/>
        <family val="2"/>
      </rPr>
      <t>Chi phí cho websites phương án 2B</t>
    </r>
  </si>
  <si>
    <r>
      <t xml:space="preserve">
</t>
    </r>
    <r>
      <rPr>
        <sz val="10"/>
        <color indexed="12"/>
        <rFont val="Arial"/>
        <family val="2"/>
      </rPr>
      <t>Chi phí cho websites phương án 2C</t>
    </r>
  </si>
  <si>
    <r>
      <t xml:space="preserve">
</t>
    </r>
    <r>
      <rPr>
        <sz val="10"/>
        <color indexed="12"/>
        <rFont val="Arial"/>
        <family val="2"/>
      </rPr>
      <t>Chi phí cho websites phương án 2D</t>
    </r>
  </si>
  <si>
    <r>
      <t xml:space="preserve">
</t>
    </r>
    <r>
      <rPr>
        <b/>
        <sz val="10"/>
        <color indexed="12"/>
        <rFont val="Arial"/>
        <family val="2"/>
      </rPr>
      <t>Chi phí cho Phương án 3</t>
    </r>
  </si>
  <si>
    <r>
      <t xml:space="preserve">
</t>
    </r>
    <r>
      <rPr>
        <sz val="10"/>
        <color indexed="12"/>
        <rFont val="Arial"/>
        <family val="2"/>
      </rPr>
      <t>Chi phí cho Phương án 3A</t>
    </r>
  </si>
  <si>
    <r>
      <t xml:space="preserve">
</t>
    </r>
    <r>
      <rPr>
        <sz val="10"/>
        <color indexed="12"/>
        <rFont val="Arial"/>
        <family val="2"/>
      </rPr>
      <t>Chi phí cho Phương án 3B</t>
    </r>
  </si>
  <si>
    <r>
      <t xml:space="preserve">
</t>
    </r>
    <r>
      <rPr>
        <sz val="10"/>
        <color indexed="12"/>
        <rFont val="Arial"/>
        <family val="2"/>
      </rPr>
      <t>Chi phí cho Phương án 3C</t>
    </r>
  </si>
  <si>
    <r>
      <t xml:space="preserve">
</t>
    </r>
    <r>
      <rPr>
        <sz val="10"/>
        <color indexed="12"/>
        <rFont val="Arial"/>
        <family val="2"/>
      </rPr>
      <t>Chi phí cho Phương án 3D</t>
    </r>
  </si>
  <si>
    <r>
      <t xml:space="preserve">
</t>
    </r>
    <r>
      <rPr>
        <b/>
        <sz val="10"/>
        <color indexed="12"/>
        <rFont val="Arial"/>
        <family val="2"/>
      </rPr>
      <t>Chi phí cho Phương án 4</t>
    </r>
  </si>
  <si>
    <r>
      <t xml:space="preserve">
</t>
    </r>
    <r>
      <rPr>
        <sz val="10"/>
        <color indexed="12"/>
        <rFont val="Arial"/>
        <family val="2"/>
      </rPr>
      <t>Chi phí cho Phương án 4A</t>
    </r>
  </si>
  <si>
    <r>
      <t xml:space="preserve">
</t>
    </r>
    <r>
      <rPr>
        <sz val="10"/>
        <color indexed="12"/>
        <rFont val="Arial"/>
        <family val="2"/>
      </rPr>
      <t>Chi phí cho Phương án 4B</t>
    </r>
  </si>
  <si>
    <r>
      <t xml:space="preserve">
</t>
    </r>
    <r>
      <rPr>
        <sz val="10"/>
        <color indexed="12"/>
        <rFont val="Arial"/>
        <family val="2"/>
      </rPr>
      <t>Chi phí cho Phương án 4C</t>
    </r>
  </si>
  <si>
    <t xml:space="preserve">
Hệ số chiết khấu</t>
  </si>
  <si>
    <t xml:space="preserve">
Lãi suất trái phiếu chính phủ 5 năm</t>
  </si>
  <si>
    <t>Lãi suất trái phiếu chính phủ kỳ hạn 5 năm (hệ số chiết khấu)</t>
  </si>
  <si>
    <t xml:space="preserve"> 
Đơn vị</t>
  </si>
  <si>
    <t>PA</t>
  </si>
  <si>
    <r>
      <t xml:space="preserve">
</t>
    </r>
    <r>
      <rPr>
        <b/>
        <sz val="10"/>
        <color indexed="12"/>
        <rFont val="Arial"/>
        <family val="2"/>
      </rPr>
      <t>Đơn vị</t>
    </r>
  </si>
  <si>
    <r>
      <t xml:space="preserve">
</t>
    </r>
    <r>
      <rPr>
        <sz val="10"/>
        <color indexed="12"/>
        <rFont val="Arial"/>
        <family val="2"/>
      </rPr>
      <t>Không có chi phí phát sinh</t>
    </r>
  </si>
  <si>
    <t xml:space="preserve">
TỔNG CHI PHÍ PHƯƠNG ÁN 3A</t>
  </si>
  <si>
    <t xml:space="preserve">
Quản lý thông tin</t>
  </si>
  <si>
    <t>Phương án: Giữ nguyên hiện trạng (chỉ một số cơ quan có trách nhiệm cung cấp thông tin)</t>
  </si>
  <si>
    <t xml:space="preserve">
Phương án: CQ cung cấp thông tin gồm Bộ, CQ ngang bộ, CQ thuộc chính phủ, CQ theo ngành dọc, UBND các cấp, CQ chuyên môn thuộc tỉnh</t>
  </si>
  <si>
    <t xml:space="preserve">
Chi phí của các Phương án cho Vấn đề 3</t>
  </si>
  <si>
    <t xml:space="preserve">
Phương án: Giữ nguyên hiện trạng (không có cán bộ phụ trách thông tin)</t>
  </si>
  <si>
    <t xml:space="preserve">
Không có chi phí phát sinh</t>
  </si>
  <si>
    <t xml:space="preserve">
Số lượng cơ quan</t>
  </si>
  <si>
    <t xml:space="preserve">
Lương &amp; chi phí hành chính của 1 cán bộ/năm</t>
  </si>
  <si>
    <t xml:space="preserve">
TỔNG CHI PHÍ PHƯƠNG ÁN 3B</t>
  </si>
  <si>
    <t xml:space="preserve">
Số lượng cơ quan từ cấp tỉnh trở lên</t>
  </si>
  <si>
    <t xml:space="preserve"> 
 - Cơ quan trực thuộc chính phủ</t>
  </si>
  <si>
    <t xml:space="preserve"> 
 - Hội đồng nhân dân cấp tỉnh</t>
  </si>
  <si>
    <t xml:space="preserve">
 - Cơ quan chuyên môn thuộc UBND tỉnh</t>
  </si>
  <si>
    <t xml:space="preserve">
 - Viện kiểm sát nhân dân cấp tỉnh</t>
  </si>
  <si>
    <t xml:space="preserve">
 - Tòa án nhân dân tối cao</t>
  </si>
  <si>
    <t xml:space="preserve">
Số lượng cơ quan từ cấp huyện trở xuống</t>
  </si>
  <si>
    <t xml:space="preserve">
 - HĐND &amp; UBND cấp huyện</t>
  </si>
  <si>
    <t xml:space="preserve">
 - HĐND &amp; UBND cấp xã</t>
  </si>
  <si>
    <t xml:space="preserve"> 
 - Viện kiểm sát nhân dân cấp huyện</t>
  </si>
  <si>
    <t xml:space="preserve">
Tổng chi phí cho  cán bộ chuyên trách/năm</t>
  </si>
  <si>
    <t xml:space="preserve">
Tổng chi phí cho  cán bộ kiêm nhiệm/năm</t>
  </si>
  <si>
    <t xml:space="preserve">
TỔNG CHI PHÍ PHƯƠNG ÁN 3C</t>
  </si>
  <si>
    <t xml:space="preserve">
Số lượng cơ quan </t>
  </si>
  <si>
    <t xml:space="preserve">
TỔNG CHI PHÍ PHƯƠNG ÁN 3D</t>
  </si>
  <si>
    <t xml:space="preserve">
Giảm thời gian tìm kiếm thông tin cho người dân và doanh nghiệp</t>
  </si>
  <si>
    <t>Tổng số dân cả nước</t>
  </si>
  <si>
    <t>Điều tra biến động dân số - 2013</t>
  </si>
  <si>
    <t xml:space="preserve">Tổng số dân thành thị </t>
  </si>
  <si>
    <t>Tổng dân số từ 15 tuổi trở lên</t>
  </si>
  <si>
    <t>Tổng số dân nông thôn</t>
  </si>
  <si>
    <t>Tổng điều tra dân số năm 2009 - Kết quả suy rộng mẫu</t>
  </si>
  <si>
    <t>Tỷ trọng dân số nông thôn từ 15 tuổi trở lên</t>
  </si>
  <si>
    <t xml:space="preserve">Tổng dân số trên 15 tuổi </t>
  </si>
  <si>
    <t>% dân số trên 15 tuổi có nhu cầu tra thông tin</t>
  </si>
  <si>
    <t>Thời gian dự kiến mỗi người dân tra thông tin/năm</t>
  </si>
  <si>
    <t>Giờ</t>
  </si>
  <si>
    <t>Đơn vị: 1000VND</t>
  </si>
  <si>
    <t xml:space="preserve"> 
 - Tòa án nhân dân cấp huyện</t>
  </si>
  <si>
    <r>
      <t xml:space="preserve">
</t>
    </r>
    <r>
      <rPr>
        <b/>
        <sz val="10"/>
        <color indexed="12"/>
        <rFont val="Arial"/>
        <family val="2"/>
      </rPr>
      <t>Chi phí của các Phương án cho Vấn đề 4</t>
    </r>
  </si>
  <si>
    <r>
      <t xml:space="preserve">
</t>
    </r>
    <r>
      <rPr>
        <b/>
        <sz val="10"/>
        <color indexed="12"/>
        <rFont val="Arial"/>
        <family val="2"/>
      </rPr>
      <t xml:space="preserve">Hiện trạng: Không có cơ quan giám sát </t>
    </r>
  </si>
  <si>
    <t>TỔNG CHI PHÍ CỦA PHƯƠNG ÁN 4A</t>
  </si>
  <si>
    <t xml:space="preserve">
Thành lập cơ quan giám sát độc lập</t>
  </si>
  <si>
    <r>
      <t xml:space="preserve">
</t>
    </r>
    <r>
      <rPr>
        <sz val="10"/>
        <color indexed="12"/>
        <rFont val="Arial"/>
        <family val="2"/>
      </rPr>
      <t>Lương cho 1 cán bộ trong 1 năm</t>
    </r>
  </si>
  <si>
    <r>
      <t xml:space="preserve">
</t>
    </r>
    <r>
      <rPr>
        <sz val="10"/>
        <color indexed="12"/>
        <rFont val="Arial"/>
        <family val="2"/>
      </rPr>
      <t>Chi phí thuê văn phòng/năm</t>
    </r>
  </si>
  <si>
    <r>
      <t xml:space="preserve">
</t>
    </r>
    <r>
      <rPr>
        <sz val="10"/>
        <color indexed="12"/>
        <rFont val="Arial"/>
        <family val="2"/>
      </rPr>
      <t>Chi phí thiết bị làm việc/nhân viên</t>
    </r>
  </si>
  <si>
    <r>
      <t xml:space="preserve">
</t>
    </r>
    <r>
      <rPr>
        <sz val="10"/>
        <color indexed="12"/>
        <rFont val="Arial"/>
        <family val="2"/>
      </rPr>
      <t>Số lượng cán bộ của cơ quan giám sát</t>
    </r>
  </si>
  <si>
    <r>
      <t xml:space="preserve">
</t>
    </r>
    <r>
      <rPr>
        <b/>
        <i/>
        <sz val="10"/>
        <color indexed="12"/>
        <rFont val="Arial"/>
        <family val="2"/>
      </rPr>
      <t>TỔNG CHI PHÍ PHƯƠNG ÁN 4B</t>
    </r>
  </si>
  <si>
    <t xml:space="preserve">
Thành lập cơ quan giám sát trong một CQ đã tồn tại</t>
  </si>
  <si>
    <r>
      <t xml:space="preserve">
</t>
    </r>
    <r>
      <rPr>
        <sz val="10"/>
        <color indexed="12"/>
        <rFont val="Arial"/>
        <family val="2"/>
      </rPr>
      <t>Số lượng cán bộ cơ quan giám sát cần thêm</t>
    </r>
  </si>
  <si>
    <r>
      <t xml:space="preserve">
</t>
    </r>
    <r>
      <rPr>
        <b/>
        <i/>
        <sz val="10"/>
        <color indexed="12"/>
        <rFont val="Arial"/>
        <family val="2"/>
      </rPr>
      <t>TỔNG CHI PHÍ PHƯƠNG ÁN 4C</t>
    </r>
  </si>
  <si>
    <r>
      <t xml:space="preserve">
</t>
    </r>
    <r>
      <rPr>
        <sz val="10"/>
        <color indexed="12"/>
        <rFont val="Arial"/>
        <family val="2"/>
      </rPr>
      <t>Người</t>
    </r>
  </si>
  <si>
    <t>6B1</t>
  </si>
  <si>
    <t>6B2</t>
  </si>
  <si>
    <t>6B3</t>
  </si>
  <si>
    <t>6B4</t>
  </si>
  <si>
    <t xml:space="preserve">
Hiện trạng: Không có lợi ích gì</t>
  </si>
  <si>
    <t xml:space="preserve">
% chi phí cho 1 cán bộ kiêm nhiệm (so với cán bộ chuyên trách)</t>
  </si>
  <si>
    <t>Phương án: 1 cán bộ kiêm nhiệm tất cả các cơ quan</t>
  </si>
  <si>
    <t>Phương án: 1 cán bộ chuyên trách từ cấp tỉnh trở lên, 1 cán bộ kiêm nhiệm ở cấp khác</t>
  </si>
  <si>
    <t xml:space="preserve">
Phương án: 1 cán bộ chuyên trách thông tin ở tất cả các cơ quan</t>
  </si>
  <si>
    <t>7B4</t>
  </si>
  <si>
    <t>7B1</t>
  </si>
  <si>
    <t>7B2</t>
  </si>
  <si>
    <t>7B3</t>
  </si>
  <si>
    <t xml:space="preserve">
Số lượng cán bộ, công chức nhà nước</t>
  </si>
  <si>
    <t xml:space="preserve">
Chi phí một giờ của công chức nhà nước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</si>
</sst>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(* #,##0_);_(* \(#,##0\);_(* &quot;-&quot;??_);_(@_)"/>
    <numFmt numFmtId="168" formatCode="#,###;\-#,###;&quot;&quot;;_(@_)"/>
    <numFmt numFmtId="169" formatCode="General_)"/>
    <numFmt numFmtId="170" formatCode="_-* #,##0_-;\-* #,##0_-;_-* &quot;-&quot;??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.VnArial"/>
      <family val="0"/>
    </font>
    <font>
      <b/>
      <u val="single"/>
      <sz val="13"/>
      <name val="VnTime"/>
      <family val="0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3"/>
      <name val="Helv"/>
      <family val="0"/>
    </font>
    <font>
      <sz val="13"/>
      <name val=".VnTime"/>
      <family val="2"/>
    </font>
    <font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30"/>
      </top>
      <bottom style="double">
        <color indexed="30"/>
      </bottom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DashDot"/>
    </border>
    <border>
      <left style="thin"/>
      <right style="thin"/>
      <top style="hair"/>
      <bottom style="double"/>
    </border>
    <border>
      <left style="medium"/>
      <right style="thin"/>
      <top style="medium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mediumDashDot"/>
      <bottom style="hair"/>
    </border>
    <border>
      <left style="thin"/>
      <right style="thin"/>
      <top style="mediumDashDot"/>
      <bottom style="hair"/>
    </border>
    <border>
      <left style="thin"/>
      <right style="medium"/>
      <top style="mediumDashDot"/>
      <bottom style="hair"/>
    </border>
    <border>
      <left style="medium"/>
      <right style="thin"/>
      <top style="thin"/>
      <bottom style="double"/>
    </border>
    <border>
      <left style="medium"/>
      <right style="thin"/>
      <top style="hair"/>
      <bottom style="mediumDashDot"/>
    </border>
    <border>
      <left style="thin"/>
      <right style="medium"/>
      <top style="hair"/>
      <bottom style="mediumDashDot"/>
    </border>
    <border>
      <left style="thin"/>
      <right style="thin"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double"/>
      <bottom style="hair"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1" fillId="2" borderId="1" applyNumberFormat="0" applyAlignment="0" applyProtection="0"/>
    <xf numFmtId="0" fontId="32" fillId="29" borderId="1" applyNumberFormat="0" applyAlignment="0" applyProtection="0"/>
    <xf numFmtId="0" fontId="32" fillId="29" borderId="1" applyNumberFormat="0" applyAlignment="0" applyProtection="0"/>
    <xf numFmtId="0" fontId="21" fillId="30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30" fillId="0" borderId="3" applyFont="0" applyFill="0" applyBorder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3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42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9" fillId="8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9" fontId="35" fillId="0" borderId="0">
      <alignment/>
      <protection/>
    </xf>
    <xf numFmtId="0" fontId="0" fillId="4" borderId="12" applyNumberFormat="0" applyFont="0" applyAlignment="0" applyProtection="0"/>
    <xf numFmtId="0" fontId="35" fillId="25" borderId="12" applyNumberFormat="0" applyFont="0" applyAlignment="0" applyProtection="0"/>
    <xf numFmtId="0" fontId="35" fillId="25" borderId="12" applyNumberFormat="0" applyFont="0" applyAlignment="0" applyProtection="0"/>
    <xf numFmtId="0" fontId="26" fillId="2" borderId="13" applyNumberFormat="0" applyAlignment="0" applyProtection="0"/>
    <xf numFmtId="0" fontId="26" fillId="29" borderId="13" applyNumberFormat="0" applyAlignment="0" applyProtection="0"/>
    <xf numFmtId="0" fontId="26" fillId="29" borderId="13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49" fontId="12" fillId="36" borderId="17" xfId="0" applyNumberFormat="1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12" fillId="0" borderId="0" xfId="0" applyFont="1" applyAlignment="1">
      <alignment vertical="top"/>
    </xf>
    <xf numFmtId="167" fontId="12" fillId="0" borderId="0" xfId="78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23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top" wrapText="1"/>
    </xf>
    <xf numFmtId="167" fontId="12" fillId="0" borderId="17" xfId="78" applyNumberFormat="1" applyFont="1" applyFill="1" applyBorder="1" applyAlignment="1">
      <alignment horizontal="left"/>
    </xf>
    <xf numFmtId="167" fontId="12" fillId="0" borderId="17" xfId="78" applyNumberFormat="1" applyFont="1" applyBorder="1" applyAlignment="1">
      <alignment horizontal="left"/>
    </xf>
    <xf numFmtId="167" fontId="12" fillId="0" borderId="17" xfId="78" applyNumberFormat="1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1" fillId="0" borderId="3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12" fillId="0" borderId="23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0" fillId="36" borderId="0" xfId="0" applyFill="1" applyAlignment="1">
      <alignment/>
    </xf>
    <xf numFmtId="0" fontId="0" fillId="9" borderId="0" xfId="0" applyFill="1" applyAlignment="1">
      <alignment/>
    </xf>
    <xf numFmtId="0" fontId="11" fillId="0" borderId="0" xfId="0" applyFont="1" applyAlignment="1">
      <alignment/>
    </xf>
    <xf numFmtId="0" fontId="4" fillId="3" borderId="17" xfId="0" applyFont="1" applyFill="1" applyBorder="1" applyAlignment="1">
      <alignment horizontal="center" wrapText="1"/>
    </xf>
    <xf numFmtId="167" fontId="4" fillId="0" borderId="17" xfId="78" applyNumberFormat="1" applyFont="1" applyFill="1" applyBorder="1" applyAlignment="1">
      <alignment vertical="top"/>
    </xf>
    <xf numFmtId="0" fontId="8" fillId="0" borderId="17" xfId="0" applyFont="1" applyBorder="1" applyAlignment="1">
      <alignment horizontal="left" wrapText="1"/>
    </xf>
    <xf numFmtId="9" fontId="12" fillId="0" borderId="0" xfId="0" applyNumberFormat="1" applyFont="1" applyAlignment="1">
      <alignment/>
    </xf>
    <xf numFmtId="0" fontId="4" fillId="0" borderId="17" xfId="0" applyFont="1" applyBorder="1" applyAlignment="1">
      <alignment horizontal="right" wrapText="1"/>
    </xf>
    <xf numFmtId="0" fontId="4" fillId="34" borderId="17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right"/>
    </xf>
    <xf numFmtId="167" fontId="12" fillId="0" borderId="22" xfId="78" applyNumberFormat="1" applyFont="1" applyFill="1" applyBorder="1" applyAlignment="1">
      <alignment/>
    </xf>
    <xf numFmtId="167" fontId="12" fillId="0" borderId="23" xfId="78" applyNumberFormat="1" applyFont="1" applyFill="1" applyBorder="1" applyAlignment="1">
      <alignment/>
    </xf>
    <xf numFmtId="167" fontId="12" fillId="0" borderId="22" xfId="78" applyNumberFormat="1" applyFont="1" applyFill="1" applyBorder="1" applyAlignment="1">
      <alignment horizontal="left"/>
    </xf>
    <xf numFmtId="167" fontId="12" fillId="0" borderId="23" xfId="78" applyNumberFormat="1" applyFont="1" applyFill="1" applyBorder="1" applyAlignment="1">
      <alignment horizontal="left"/>
    </xf>
    <xf numFmtId="167" fontId="12" fillId="0" borderId="22" xfId="78" applyNumberFormat="1" applyFont="1" applyBorder="1" applyAlignment="1">
      <alignment horizontal="left"/>
    </xf>
    <xf numFmtId="167" fontId="12" fillId="0" borderId="23" xfId="78" applyNumberFormat="1" applyFont="1" applyBorder="1" applyAlignment="1">
      <alignment horizontal="left"/>
    </xf>
    <xf numFmtId="167" fontId="12" fillId="0" borderId="29" xfId="78" applyNumberFormat="1" applyFont="1" applyFill="1" applyBorder="1" applyAlignment="1">
      <alignment horizontal="left"/>
    </xf>
    <xf numFmtId="167" fontId="12" fillId="0" borderId="19" xfId="78" applyNumberFormat="1" applyFont="1" applyFill="1" applyBorder="1" applyAlignment="1">
      <alignment horizontal="left"/>
    </xf>
    <xf numFmtId="167" fontId="12" fillId="0" borderId="31" xfId="78" applyNumberFormat="1" applyFont="1" applyFill="1" applyBorder="1" applyAlignment="1">
      <alignment horizontal="left"/>
    </xf>
    <xf numFmtId="167" fontId="4" fillId="37" borderId="34" xfId="78" applyNumberFormat="1" applyFont="1" applyFill="1" applyBorder="1" applyAlignment="1">
      <alignment/>
    </xf>
    <xf numFmtId="167" fontId="4" fillId="37" borderId="35" xfId="78" applyNumberFormat="1" applyFont="1" applyFill="1" applyBorder="1" applyAlignment="1">
      <alignment/>
    </xf>
    <xf numFmtId="167" fontId="4" fillId="37" borderId="36" xfId="78" applyNumberFormat="1" applyFont="1" applyFill="1" applyBorder="1" applyAlignment="1">
      <alignment/>
    </xf>
    <xf numFmtId="167" fontId="4" fillId="37" borderId="37" xfId="78" applyNumberFormat="1" applyFont="1" applyFill="1" applyBorder="1" applyAlignment="1">
      <alignment/>
    </xf>
    <xf numFmtId="167" fontId="4" fillId="37" borderId="17" xfId="78" applyNumberFormat="1" applyFont="1" applyFill="1" applyBorder="1" applyAlignment="1">
      <alignment/>
    </xf>
    <xf numFmtId="167" fontId="4" fillId="37" borderId="23" xfId="78" applyNumberFormat="1" applyFont="1" applyFill="1" applyBorder="1" applyAlignment="1">
      <alignment/>
    </xf>
    <xf numFmtId="167" fontId="4" fillId="37" borderId="38" xfId="0" applyNumberFormat="1" applyFont="1" applyFill="1" applyBorder="1" applyAlignment="1">
      <alignment/>
    </xf>
    <xf numFmtId="167" fontId="4" fillId="37" borderId="25" xfId="0" applyNumberFormat="1" applyFont="1" applyFill="1" applyBorder="1" applyAlignment="1">
      <alignment/>
    </xf>
    <xf numFmtId="167" fontId="4" fillId="37" borderId="30" xfId="0" applyNumberFormat="1" applyFont="1" applyFill="1" applyBorder="1" applyAlignment="1">
      <alignment/>
    </xf>
    <xf numFmtId="37" fontId="4" fillId="0" borderId="17" xfId="0" applyNumberFormat="1" applyFont="1" applyBorder="1" applyAlignment="1">
      <alignment horizontal="right" wrapText="1"/>
    </xf>
    <xf numFmtId="0" fontId="12" fillId="38" borderId="0" xfId="0" applyFont="1" applyFill="1" applyAlignment="1">
      <alignment horizontal="center"/>
    </xf>
    <xf numFmtId="0" fontId="4" fillId="5" borderId="17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horizontal="center" wrapText="1"/>
    </xf>
    <xf numFmtId="2" fontId="9" fillId="34" borderId="16" xfId="0" applyNumberFormat="1" applyFont="1" applyFill="1" applyBorder="1" applyAlignment="1">
      <alignment horizontal="left" wrapText="1"/>
    </xf>
    <xf numFmtId="2" fontId="9" fillId="34" borderId="16" xfId="0" applyNumberFormat="1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left" wrapText="1"/>
    </xf>
    <xf numFmtId="0" fontId="9" fillId="3" borderId="16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9" fillId="39" borderId="40" xfId="0" applyFont="1" applyFill="1" applyBorder="1" applyAlignment="1">
      <alignment horizontal="left" wrapText="1"/>
    </xf>
    <xf numFmtId="2" fontId="9" fillId="39" borderId="40" xfId="0" applyNumberFormat="1" applyFont="1" applyFill="1" applyBorder="1" applyAlignment="1">
      <alignment horizontal="center" wrapText="1"/>
    </xf>
    <xf numFmtId="0" fontId="9" fillId="39" borderId="4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left" wrapText="1"/>
    </xf>
    <xf numFmtId="0" fontId="4" fillId="34" borderId="37" xfId="0" applyFont="1" applyFill="1" applyBorder="1" applyAlignment="1">
      <alignment horizontal="center" wrapText="1"/>
    </xf>
    <xf numFmtId="0" fontId="1" fillId="28" borderId="41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167" fontId="7" fillId="0" borderId="33" xfId="78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0" xfId="0" applyFont="1" applyAlignment="1">
      <alignment/>
    </xf>
    <xf numFmtId="0" fontId="4" fillId="34" borderId="18" xfId="0" applyFont="1" applyFill="1" applyBorder="1" applyAlignment="1">
      <alignment horizontal="center" wrapText="1"/>
    </xf>
    <xf numFmtId="0" fontId="1" fillId="28" borderId="20" xfId="0" applyFont="1" applyFill="1" applyBorder="1" applyAlignment="1">
      <alignment horizontal="center"/>
    </xf>
    <xf numFmtId="0" fontId="1" fillId="28" borderId="27" xfId="0" applyFont="1" applyFill="1" applyBorder="1" applyAlignment="1">
      <alignment horizontal="center" wrapText="1"/>
    </xf>
    <xf numFmtId="0" fontId="9" fillId="28" borderId="17" xfId="0" applyFont="1" applyFill="1" applyBorder="1" applyAlignment="1">
      <alignment horizontal="center" wrapText="1"/>
    </xf>
    <xf numFmtId="0" fontId="1" fillId="28" borderId="22" xfId="0" applyFont="1" applyFill="1" applyBorder="1" applyAlignment="1">
      <alignment horizontal="center" wrapText="1"/>
    </xf>
    <xf numFmtId="0" fontId="4" fillId="28" borderId="16" xfId="0" applyFont="1" applyFill="1" applyBorder="1" applyAlignment="1">
      <alignment horizontal="center" wrapText="1"/>
    </xf>
    <xf numFmtId="0" fontId="9" fillId="28" borderId="16" xfId="0" applyFont="1" applyFill="1" applyBorder="1" applyAlignment="1">
      <alignment horizontal="center" wrapText="1"/>
    </xf>
    <xf numFmtId="0" fontId="9" fillId="28" borderId="42" xfId="0" applyFont="1" applyFill="1" applyBorder="1" applyAlignment="1">
      <alignment horizontal="left" wrapText="1"/>
    </xf>
    <xf numFmtId="0" fontId="9" fillId="28" borderId="42" xfId="0" applyFont="1" applyFill="1" applyBorder="1" applyAlignment="1">
      <alignment horizontal="center" wrapText="1"/>
    </xf>
    <xf numFmtId="0" fontId="4" fillId="28" borderId="17" xfId="0" applyFont="1" applyFill="1" applyBorder="1" applyAlignment="1">
      <alignment horizontal="center" wrapText="1"/>
    </xf>
    <xf numFmtId="167" fontId="4" fillId="0" borderId="17" xfId="78" applyNumberFormat="1" applyFont="1" applyBorder="1" applyAlignment="1">
      <alignment horizontal="right" wrapText="1"/>
    </xf>
    <xf numFmtId="0" fontId="7" fillId="34" borderId="2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wrapText="1"/>
    </xf>
    <xf numFmtId="167" fontId="4" fillId="34" borderId="43" xfId="78" applyNumberFormat="1" applyFont="1" applyFill="1" applyBorder="1" applyAlignment="1">
      <alignment horizontal="center" wrapText="1"/>
    </xf>
    <xf numFmtId="167" fontId="4" fillId="34" borderId="44" xfId="78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167" fontId="12" fillId="0" borderId="17" xfId="78" applyNumberFormat="1" applyFont="1" applyBorder="1" applyAlignment="1">
      <alignment/>
    </xf>
    <xf numFmtId="167" fontId="4" fillId="0" borderId="17" xfId="78" applyNumberFormat="1" applyFont="1" applyFill="1" applyBorder="1" applyAlignment="1">
      <alignment horizontal="center" wrapText="1"/>
    </xf>
    <xf numFmtId="167" fontId="8" fillId="34" borderId="25" xfId="78" applyNumberFormat="1" applyFont="1" applyFill="1" applyBorder="1" applyAlignment="1">
      <alignment horizontal="center" wrapText="1"/>
    </xf>
    <xf numFmtId="167" fontId="8" fillId="34" borderId="30" xfId="78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vertical="top" wrapText="1"/>
    </xf>
    <xf numFmtId="167" fontId="12" fillId="0" borderId="23" xfId="78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4" borderId="22" xfId="0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7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/>
    </xf>
    <xf numFmtId="167" fontId="14" fillId="4" borderId="25" xfId="0" applyNumberFormat="1" applyFont="1" applyFill="1" applyBorder="1" applyAlignment="1">
      <alignment/>
    </xf>
    <xf numFmtId="167" fontId="14" fillId="4" borderId="3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167" fontId="4" fillId="0" borderId="17" xfId="78" applyNumberFormat="1" applyFont="1" applyFill="1" applyBorder="1" applyAlignment="1">
      <alignment/>
    </xf>
    <xf numFmtId="9" fontId="12" fillId="0" borderId="0" xfId="123" applyFont="1" applyAlignment="1">
      <alignment/>
    </xf>
    <xf numFmtId="0" fontId="4" fillId="40" borderId="27" xfId="0" applyFont="1" applyFill="1" applyBorder="1" applyAlignment="1">
      <alignment horizontal="center" wrapText="1"/>
    </xf>
    <xf numFmtId="0" fontId="4" fillId="40" borderId="21" xfId="0" applyFont="1" applyFill="1" applyBorder="1" applyAlignment="1">
      <alignment horizontal="center" wrapText="1"/>
    </xf>
    <xf numFmtId="0" fontId="4" fillId="28" borderId="27" xfId="0" applyFont="1" applyFill="1" applyBorder="1" applyAlignment="1">
      <alignment horizontal="center" wrapText="1"/>
    </xf>
    <xf numFmtId="0" fontId="4" fillId="28" borderId="21" xfId="0" applyFont="1" applyFill="1" applyBorder="1" applyAlignment="1">
      <alignment horizontal="center" wrapText="1"/>
    </xf>
    <xf numFmtId="9" fontId="12" fillId="0" borderId="0" xfId="123" applyNumberFormat="1" applyFont="1" applyAlignment="1">
      <alignment/>
    </xf>
    <xf numFmtId="0" fontId="8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7" fillId="0" borderId="45" xfId="0" applyFont="1" applyFill="1" applyBorder="1" applyAlignment="1">
      <alignment horizontal="center" wrapText="1"/>
    </xf>
    <xf numFmtId="37" fontId="12" fillId="0" borderId="17" xfId="78" applyNumberFormat="1" applyFont="1" applyBorder="1" applyAlignment="1">
      <alignment/>
    </xf>
    <xf numFmtId="37" fontId="12" fillId="0" borderId="23" xfId="78" applyNumberFormat="1" applyFont="1" applyBorder="1" applyAlignment="1">
      <alignment/>
    </xf>
    <xf numFmtId="167" fontId="7" fillId="0" borderId="17" xfId="78" applyNumberFormat="1" applyFont="1" applyBorder="1" applyAlignment="1">
      <alignment/>
    </xf>
    <xf numFmtId="37" fontId="7" fillId="0" borderId="17" xfId="78" applyNumberFormat="1" applyFont="1" applyBorder="1" applyAlignment="1">
      <alignment/>
    </xf>
    <xf numFmtId="167" fontId="12" fillId="0" borderId="25" xfId="78" applyNumberFormat="1" applyFont="1" applyBorder="1" applyAlignment="1">
      <alignment/>
    </xf>
    <xf numFmtId="167" fontId="12" fillId="0" borderId="30" xfId="78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18" xfId="0" applyFont="1" applyBorder="1" applyAlignment="1">
      <alignment/>
    </xf>
    <xf numFmtId="167" fontId="12" fillId="0" borderId="18" xfId="78" applyNumberFormat="1" applyFont="1" applyBorder="1" applyAlignment="1">
      <alignment/>
    </xf>
    <xf numFmtId="167" fontId="12" fillId="0" borderId="32" xfId="78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167" fontId="7" fillId="0" borderId="40" xfId="78" applyNumberFormat="1" applyFont="1" applyBorder="1" applyAlignment="1">
      <alignment/>
    </xf>
    <xf numFmtId="167" fontId="12" fillId="0" borderId="40" xfId="78" applyNumberFormat="1" applyFont="1" applyBorder="1" applyAlignment="1">
      <alignment/>
    </xf>
    <xf numFmtId="167" fontId="12" fillId="0" borderId="47" xfId="78" applyNumberFormat="1" applyFont="1" applyBorder="1" applyAlignment="1">
      <alignment/>
    </xf>
    <xf numFmtId="0" fontId="12" fillId="0" borderId="32" xfId="0" applyFont="1" applyBorder="1" applyAlignment="1">
      <alignment/>
    </xf>
    <xf numFmtId="0" fontId="7" fillId="5" borderId="28" xfId="0" applyFont="1" applyFill="1" applyBorder="1" applyAlignment="1">
      <alignment horizontal="center"/>
    </xf>
    <xf numFmtId="0" fontId="12" fillId="5" borderId="18" xfId="0" applyFont="1" applyFill="1" applyBorder="1" applyAlignment="1">
      <alignment/>
    </xf>
    <xf numFmtId="0" fontId="12" fillId="5" borderId="32" xfId="0" applyFont="1" applyFill="1" applyBorder="1" applyAlignment="1">
      <alignment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wrapText="1"/>
    </xf>
    <xf numFmtId="3" fontId="19" fillId="0" borderId="49" xfId="78" applyNumberFormat="1" applyFont="1" applyBorder="1" applyAlignment="1">
      <alignment/>
    </xf>
    <xf numFmtId="3" fontId="19" fillId="0" borderId="50" xfId="78" applyNumberFormat="1" applyFont="1" applyBorder="1" applyAlignment="1">
      <alignment/>
    </xf>
    <xf numFmtId="0" fontId="12" fillId="0" borderId="30" xfId="0" applyFont="1" applyBorder="1" applyAlignment="1">
      <alignment/>
    </xf>
    <xf numFmtId="10" fontId="12" fillId="0" borderId="25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18" fillId="0" borderId="49" xfId="0" applyFont="1" applyBorder="1" applyAlignment="1">
      <alignment wrapText="1"/>
    </xf>
    <xf numFmtId="3" fontId="18" fillId="0" borderId="49" xfId="78" applyNumberFormat="1" applyFont="1" applyBorder="1" applyAlignment="1">
      <alignment/>
    </xf>
    <xf numFmtId="3" fontId="18" fillId="0" borderId="50" xfId="78" applyNumberFormat="1" applyFont="1" applyBorder="1" applyAlignment="1">
      <alignment/>
    </xf>
    <xf numFmtId="0" fontId="5" fillId="0" borderId="49" xfId="0" applyFont="1" applyBorder="1" applyAlignment="1">
      <alignment wrapText="1"/>
    </xf>
    <xf numFmtId="3" fontId="5" fillId="0" borderId="49" xfId="78" applyNumberFormat="1" applyFont="1" applyBorder="1" applyAlignment="1">
      <alignment/>
    </xf>
    <xf numFmtId="0" fontId="5" fillId="0" borderId="51" xfId="0" applyFont="1" applyBorder="1" applyAlignment="1">
      <alignment wrapText="1"/>
    </xf>
    <xf numFmtId="3" fontId="5" fillId="0" borderId="51" xfId="78" applyNumberFormat="1" applyFont="1" applyBorder="1" applyAlignment="1">
      <alignment/>
    </xf>
    <xf numFmtId="3" fontId="17" fillId="0" borderId="49" xfId="78" applyNumberFormat="1" applyFont="1" applyBorder="1" applyAlignment="1">
      <alignment/>
    </xf>
    <xf numFmtId="0" fontId="19" fillId="0" borderId="52" xfId="0" applyFont="1" applyBorder="1" applyAlignment="1">
      <alignment horizontal="center"/>
    </xf>
    <xf numFmtId="3" fontId="17" fillId="0" borderId="51" xfId="78" applyNumberFormat="1" applyFont="1" applyBorder="1" applyAlignment="1">
      <alignment/>
    </xf>
    <xf numFmtId="3" fontId="17" fillId="0" borderId="53" xfId="78" applyNumberFormat="1" applyFont="1" applyBorder="1" applyAlignment="1">
      <alignment/>
    </xf>
    <xf numFmtId="3" fontId="17" fillId="0" borderId="50" xfId="78" applyNumberFormat="1" applyFont="1" applyBorder="1" applyAlignment="1">
      <alignment/>
    </xf>
    <xf numFmtId="167" fontId="12" fillId="0" borderId="0" xfId="78" applyNumberFormat="1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3" fontId="12" fillId="0" borderId="17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167" fontId="12" fillId="0" borderId="17" xfId="78" applyNumberFormat="1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167" fontId="12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2" borderId="0" xfId="0" applyFont="1" applyFill="1" applyAlignment="1">
      <alignment horizontal="right"/>
    </xf>
    <xf numFmtId="3" fontId="12" fillId="0" borderId="17" xfId="78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3" fontId="12" fillId="2" borderId="17" xfId="78" applyNumberFormat="1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/>
    </xf>
    <xf numFmtId="167" fontId="12" fillId="0" borderId="17" xfId="78" applyNumberFormat="1" applyFont="1" applyBorder="1" applyAlignment="1">
      <alignment/>
    </xf>
    <xf numFmtId="167" fontId="12" fillId="0" borderId="23" xfId="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7" fontId="12" fillId="0" borderId="17" xfId="78" applyNumberFormat="1" applyFont="1" applyFill="1" applyBorder="1" applyAlignment="1">
      <alignment/>
    </xf>
    <xf numFmtId="167" fontId="12" fillId="0" borderId="17" xfId="78" applyNumberFormat="1" applyFont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10" fontId="12" fillId="0" borderId="17" xfId="0" applyNumberFormat="1" applyFont="1" applyBorder="1" applyAlignment="1">
      <alignment/>
    </xf>
    <xf numFmtId="9" fontId="12" fillId="0" borderId="17" xfId="123" applyFont="1" applyBorder="1" applyAlignment="1">
      <alignment/>
    </xf>
    <xf numFmtId="166" fontId="12" fillId="0" borderId="17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43" fontId="7" fillId="0" borderId="27" xfId="78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67" fontId="12" fillId="2" borderId="17" xfId="78" applyNumberFormat="1" applyFont="1" applyFill="1" applyBorder="1" applyAlignment="1">
      <alignment horizontal="right"/>
    </xf>
    <xf numFmtId="167" fontId="12" fillId="0" borderId="23" xfId="78" applyNumberFormat="1" applyFont="1" applyBorder="1" applyAlignment="1">
      <alignment/>
    </xf>
    <xf numFmtId="4" fontId="12" fillId="0" borderId="17" xfId="113" applyNumberFormat="1" applyFont="1" applyFill="1" applyBorder="1" applyAlignment="1">
      <alignment horizontal="left" vertical="center" wrapText="1"/>
      <protection/>
    </xf>
    <xf numFmtId="4" fontId="12" fillId="0" borderId="17" xfId="116" applyNumberFormat="1" applyFont="1" applyFill="1" applyBorder="1" applyAlignment="1">
      <alignment horizontal="left" vertical="center"/>
      <protection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3" fontId="12" fillId="8" borderId="17" xfId="78" applyNumberFormat="1" applyFont="1" applyFill="1" applyBorder="1" applyAlignment="1">
      <alignment/>
    </xf>
    <xf numFmtId="166" fontId="12" fillId="0" borderId="0" xfId="123" applyNumberFormat="1" applyFont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3" fontId="7" fillId="0" borderId="17" xfId="78" applyFont="1" applyBorder="1" applyAlignment="1">
      <alignment horizontal="center" wrapText="1"/>
    </xf>
    <xf numFmtId="43" fontId="7" fillId="0" borderId="17" xfId="78" applyFont="1" applyBorder="1" applyAlignment="1">
      <alignment horizontal="left" wrapText="1"/>
    </xf>
    <xf numFmtId="43" fontId="12" fillId="0" borderId="17" xfId="78" applyFont="1" applyBorder="1" applyAlignment="1">
      <alignment/>
    </xf>
    <xf numFmtId="43" fontId="12" fillId="0" borderId="17" xfId="78" applyFont="1" applyBorder="1" applyAlignment="1">
      <alignment horizontal="left"/>
    </xf>
    <xf numFmtId="0" fontId="7" fillId="0" borderId="17" xfId="0" applyFont="1" applyBorder="1" applyAlignment="1">
      <alignment/>
    </xf>
    <xf numFmtId="0" fontId="12" fillId="0" borderId="17" xfId="0" applyFont="1" applyBorder="1" applyAlignment="1">
      <alignment horizontal="center" vertical="top" wrapText="1"/>
    </xf>
    <xf numFmtId="3" fontId="12" fillId="0" borderId="17" xfId="78" applyNumberFormat="1" applyFont="1" applyFill="1" applyBorder="1" applyAlignment="1">
      <alignment/>
    </xf>
    <xf numFmtId="167" fontId="12" fillId="0" borderId="17" xfId="78" applyNumberFormat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9" fontId="12" fillId="0" borderId="17" xfId="123" applyNumberFormat="1" applyFont="1" applyBorder="1" applyAlignment="1">
      <alignment/>
    </xf>
    <xf numFmtId="9" fontId="12" fillId="0" borderId="17" xfId="78" applyNumberFormat="1" applyFont="1" applyBorder="1" applyAlignment="1">
      <alignment/>
    </xf>
    <xf numFmtId="167" fontId="12" fillId="0" borderId="17" xfId="78" applyNumberFormat="1" applyFont="1" applyFill="1" applyBorder="1" applyAlignment="1">
      <alignment horizontal="center"/>
    </xf>
    <xf numFmtId="167" fontId="12" fillId="0" borderId="17" xfId="78" applyNumberFormat="1" applyFont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3" fontId="12" fillId="0" borderId="17" xfId="78" applyFont="1" applyBorder="1" applyAlignment="1">
      <alignment horizontal="left" wrapText="1"/>
    </xf>
    <xf numFmtId="9" fontId="12" fillId="0" borderId="17" xfId="123" applyFont="1" applyFill="1" applyBorder="1" applyAlignment="1">
      <alignment/>
    </xf>
    <xf numFmtId="167" fontId="12" fillId="0" borderId="17" xfId="78" applyNumberFormat="1" applyFont="1" applyFill="1" applyBorder="1" applyAlignment="1">
      <alignment/>
    </xf>
    <xf numFmtId="37" fontId="12" fillId="0" borderId="17" xfId="78" applyNumberFormat="1" applyFont="1" applyFill="1" applyBorder="1" applyAlignment="1">
      <alignment/>
    </xf>
    <xf numFmtId="0" fontId="14" fillId="0" borderId="22" xfId="0" applyFont="1" applyBorder="1" applyAlignment="1">
      <alignment horizontal="center"/>
    </xf>
    <xf numFmtId="3" fontId="7" fillId="0" borderId="17" xfId="78" applyNumberFormat="1" applyFont="1" applyBorder="1" applyAlignment="1">
      <alignment/>
    </xf>
    <xf numFmtId="0" fontId="7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2" borderId="23" xfId="0" applyFont="1" applyFill="1" applyBorder="1" applyAlignment="1">
      <alignment vertical="top" wrapText="1"/>
    </xf>
    <xf numFmtId="37" fontId="4" fillId="2" borderId="17" xfId="78" applyNumberFormat="1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167" fontId="1" fillId="0" borderId="33" xfId="78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4" fillId="28" borderId="27" xfId="78" applyNumberFormat="1" applyFont="1" applyFill="1" applyBorder="1" applyAlignment="1">
      <alignment/>
    </xf>
    <xf numFmtId="0" fontId="1" fillId="28" borderId="27" xfId="0" applyFont="1" applyFill="1" applyBorder="1" applyAlignment="1">
      <alignment/>
    </xf>
    <xf numFmtId="0" fontId="1" fillId="28" borderId="2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8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4" fillId="28" borderId="17" xfId="0" applyFont="1" applyFill="1" applyBorder="1" applyAlignment="1">
      <alignment horizontal="center"/>
    </xf>
    <xf numFmtId="37" fontId="4" fillId="28" borderId="17" xfId="78" applyNumberFormat="1" applyFont="1" applyFill="1" applyBorder="1" applyAlignment="1">
      <alignment/>
    </xf>
    <xf numFmtId="37" fontId="4" fillId="28" borderId="23" xfId="7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37" fontId="1" fillId="28" borderId="17" xfId="78" applyNumberFormat="1" applyFont="1" applyFill="1" applyBorder="1" applyAlignment="1">
      <alignment/>
    </xf>
    <xf numFmtId="167" fontId="4" fillId="28" borderId="17" xfId="78" applyNumberFormat="1" applyFont="1" applyFill="1" applyBorder="1" applyAlignment="1">
      <alignment/>
    </xf>
    <xf numFmtId="167" fontId="4" fillId="28" borderId="23" xfId="78" applyNumberFormat="1" applyFont="1" applyFill="1" applyBorder="1" applyAlignment="1">
      <alignment/>
    </xf>
    <xf numFmtId="9" fontId="4" fillId="0" borderId="17" xfId="123" applyFont="1" applyBorder="1" applyAlignment="1">
      <alignment/>
    </xf>
    <xf numFmtId="167" fontId="4" fillId="0" borderId="17" xfId="78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7" xfId="78" applyNumberFormat="1" applyFont="1" applyBorder="1" applyAlignment="1">
      <alignment/>
    </xf>
    <xf numFmtId="167" fontId="4" fillId="28" borderId="17" xfId="0" applyNumberFormat="1" applyFont="1" applyFill="1" applyBorder="1" applyAlignment="1">
      <alignment/>
    </xf>
    <xf numFmtId="167" fontId="4" fillId="28" borderId="23" xfId="0" applyNumberFormat="1" applyFont="1" applyFill="1" applyBorder="1" applyAlignment="1">
      <alignment/>
    </xf>
    <xf numFmtId="167" fontId="4" fillId="0" borderId="17" xfId="0" applyNumberFormat="1" applyFont="1" applyBorder="1" applyAlignment="1">
      <alignment/>
    </xf>
    <xf numFmtId="37" fontId="1" fillId="28" borderId="17" xfId="0" applyNumberFormat="1" applyFont="1" applyFill="1" applyBorder="1" applyAlignment="1">
      <alignment/>
    </xf>
    <xf numFmtId="37" fontId="4" fillId="28" borderId="17" xfId="0" applyNumberFormat="1" applyFont="1" applyFill="1" applyBorder="1" applyAlignment="1">
      <alignment/>
    </xf>
    <xf numFmtId="37" fontId="4" fillId="28" borderId="23" xfId="0" applyNumberFormat="1" applyFont="1" applyFill="1" applyBorder="1" applyAlignment="1">
      <alignment/>
    </xf>
    <xf numFmtId="9" fontId="4" fillId="2" borderId="17" xfId="123" applyFont="1" applyFill="1" applyBorder="1" applyAlignment="1">
      <alignment/>
    </xf>
    <xf numFmtId="167" fontId="4" fillId="0" borderId="17" xfId="78" applyNumberFormat="1" applyFont="1" applyFill="1" applyBorder="1" applyAlignment="1">
      <alignment horizontal="center"/>
    </xf>
    <xf numFmtId="3" fontId="4" fillId="0" borderId="17" xfId="78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37" fontId="4" fillId="0" borderId="17" xfId="78" applyNumberFormat="1" applyFont="1" applyBorder="1" applyAlignment="1">
      <alignment/>
    </xf>
    <xf numFmtId="37" fontId="4" fillId="0" borderId="17" xfId="78" applyNumberFormat="1" applyFont="1" applyFill="1" applyBorder="1" applyAlignment="1">
      <alignment/>
    </xf>
    <xf numFmtId="37" fontId="4" fillId="0" borderId="23" xfId="78" applyNumberFormat="1" applyFont="1" applyFill="1" applyBorder="1" applyAlignment="1">
      <alignment/>
    </xf>
    <xf numFmtId="167" fontId="4" fillId="0" borderId="23" xfId="78" applyNumberFormat="1" applyFont="1" applyBorder="1" applyAlignment="1">
      <alignment/>
    </xf>
    <xf numFmtId="0" fontId="1" fillId="28" borderId="26" xfId="0" applyFont="1" applyFill="1" applyBorder="1" applyAlignment="1">
      <alignment horizontal="center"/>
    </xf>
    <xf numFmtId="37" fontId="1" fillId="28" borderId="16" xfId="78" applyNumberFormat="1" applyFont="1" applyFill="1" applyBorder="1" applyAlignment="1">
      <alignment/>
    </xf>
    <xf numFmtId="37" fontId="4" fillId="28" borderId="16" xfId="78" applyNumberFormat="1" applyFont="1" applyFill="1" applyBorder="1" applyAlignment="1">
      <alignment/>
    </xf>
    <xf numFmtId="37" fontId="4" fillId="28" borderId="56" xfId="78" applyNumberFormat="1" applyFont="1" applyFill="1" applyBorder="1" applyAlignment="1">
      <alignment/>
    </xf>
    <xf numFmtId="0" fontId="1" fillId="28" borderId="57" xfId="0" applyFont="1" applyFill="1" applyBorder="1" applyAlignment="1">
      <alignment horizontal="center"/>
    </xf>
    <xf numFmtId="37" fontId="8" fillId="28" borderId="58" xfId="78" applyNumberFormat="1" applyFont="1" applyFill="1" applyBorder="1" applyAlignment="1">
      <alignment/>
    </xf>
    <xf numFmtId="37" fontId="8" fillId="28" borderId="59" xfId="78" applyNumberFormat="1" applyFont="1" applyFill="1" applyBorder="1" applyAlignment="1">
      <alignment/>
    </xf>
    <xf numFmtId="37" fontId="4" fillId="0" borderId="0" xfId="78" applyNumberFormat="1" applyFont="1" applyFill="1" applyAlignment="1">
      <alignment/>
    </xf>
    <xf numFmtId="37" fontId="8" fillId="28" borderId="16" xfId="78" applyNumberFormat="1" applyFont="1" applyFill="1" applyBorder="1" applyAlignment="1">
      <alignment/>
    </xf>
    <xf numFmtId="37" fontId="9" fillId="28" borderId="17" xfId="78" applyNumberFormat="1" applyFont="1" applyFill="1" applyBorder="1" applyAlignment="1">
      <alignment/>
    </xf>
    <xf numFmtId="37" fontId="9" fillId="28" borderId="23" xfId="78" applyNumberFormat="1" applyFont="1" applyFill="1" applyBorder="1" applyAlignment="1">
      <alignment/>
    </xf>
    <xf numFmtId="37" fontId="9" fillId="28" borderId="16" xfId="78" applyNumberFormat="1" applyFont="1" applyFill="1" applyBorder="1" applyAlignment="1">
      <alignment/>
    </xf>
    <xf numFmtId="37" fontId="9" fillId="28" borderId="56" xfId="78" applyNumberFormat="1" applyFont="1" applyFill="1" applyBorder="1" applyAlignment="1">
      <alignment/>
    </xf>
    <xf numFmtId="0" fontId="1" fillId="28" borderId="60" xfId="0" applyFont="1" applyFill="1" applyBorder="1" applyAlignment="1">
      <alignment horizontal="center"/>
    </xf>
    <xf numFmtId="37" fontId="8" fillId="28" borderId="42" xfId="78" applyNumberFormat="1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37" fontId="4" fillId="34" borderId="18" xfId="78" applyNumberFormat="1" applyFont="1" applyFill="1" applyBorder="1" applyAlignment="1">
      <alignment/>
    </xf>
    <xf numFmtId="37" fontId="4" fillId="34" borderId="32" xfId="78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37" fontId="4" fillId="34" borderId="17" xfId="78" applyNumberFormat="1" applyFont="1" applyFill="1" applyBorder="1" applyAlignment="1">
      <alignment/>
    </xf>
    <xf numFmtId="37" fontId="4" fillId="34" borderId="23" xfId="78" applyNumberFormat="1" applyFont="1" applyFill="1" applyBorder="1" applyAlignment="1">
      <alignment/>
    </xf>
    <xf numFmtId="37" fontId="1" fillId="34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7" fontId="4" fillId="0" borderId="17" xfId="0" applyNumberFormat="1" applyFont="1" applyFill="1" applyBorder="1" applyAlignment="1">
      <alignment/>
    </xf>
    <xf numFmtId="3" fontId="4" fillId="0" borderId="17" xfId="123" applyNumberFormat="1" applyFont="1" applyFill="1" applyBorder="1" applyAlignment="1">
      <alignment/>
    </xf>
    <xf numFmtId="9" fontId="4" fillId="0" borderId="17" xfId="123" applyFont="1" applyFill="1" applyBorder="1" applyAlignment="1">
      <alignment/>
    </xf>
    <xf numFmtId="3" fontId="1" fillId="34" borderId="17" xfId="78" applyNumberFormat="1" applyFont="1" applyFill="1" applyBorder="1" applyAlignment="1">
      <alignment/>
    </xf>
    <xf numFmtId="3" fontId="4" fillId="34" borderId="17" xfId="78" applyNumberFormat="1" applyFont="1" applyFill="1" applyBorder="1" applyAlignment="1">
      <alignment/>
    </xf>
    <xf numFmtId="3" fontId="4" fillId="0" borderId="16" xfId="78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167" fontId="1" fillId="34" borderId="17" xfId="0" applyNumberFormat="1" applyFont="1" applyFill="1" applyBorder="1" applyAlignment="1">
      <alignment/>
    </xf>
    <xf numFmtId="167" fontId="4" fillId="34" borderId="17" xfId="78" applyNumberFormat="1" applyFont="1" applyFill="1" applyBorder="1" applyAlignment="1">
      <alignment/>
    </xf>
    <xf numFmtId="167" fontId="4" fillId="34" borderId="23" xfId="78" applyNumberFormat="1" applyFont="1" applyFill="1" applyBorder="1" applyAlignment="1">
      <alignment/>
    </xf>
    <xf numFmtId="167" fontId="4" fillId="0" borderId="23" xfId="78" applyNumberFormat="1" applyFont="1" applyFill="1" applyBorder="1" applyAlignment="1">
      <alignment/>
    </xf>
    <xf numFmtId="167" fontId="1" fillId="34" borderId="17" xfId="78" applyNumberFormat="1" applyFont="1" applyFill="1" applyBorder="1" applyAlignment="1">
      <alignment/>
    </xf>
    <xf numFmtId="37" fontId="1" fillId="34" borderId="17" xfId="78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34" borderId="61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167" fontId="4" fillId="0" borderId="39" xfId="78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62" xfId="0" applyFont="1" applyBorder="1" applyAlignment="1">
      <alignment/>
    </xf>
    <xf numFmtId="167" fontId="1" fillId="34" borderId="18" xfId="78" applyNumberFormat="1" applyFont="1" applyFill="1" applyBorder="1" applyAlignment="1">
      <alignment/>
    </xf>
    <xf numFmtId="167" fontId="4" fillId="34" borderId="18" xfId="78" applyNumberFormat="1" applyFont="1" applyFill="1" applyBorder="1" applyAlignment="1">
      <alignment/>
    </xf>
    <xf numFmtId="167" fontId="4" fillId="34" borderId="32" xfId="78" applyNumberFormat="1" applyFont="1" applyFill="1" applyBorder="1" applyAlignment="1">
      <alignment/>
    </xf>
    <xf numFmtId="167" fontId="9" fillId="34" borderId="17" xfId="78" applyNumberFormat="1" applyFont="1" applyFill="1" applyBorder="1" applyAlignment="1">
      <alignment/>
    </xf>
    <xf numFmtId="167" fontId="9" fillId="34" borderId="23" xfId="78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167" fontId="9" fillId="34" borderId="16" xfId="78" applyNumberFormat="1" applyFont="1" applyFill="1" applyBorder="1" applyAlignment="1">
      <alignment/>
    </xf>
    <xf numFmtId="2" fontId="8" fillId="34" borderId="26" xfId="0" applyNumberFormat="1" applyFont="1" applyFill="1" applyBorder="1" applyAlignment="1">
      <alignment horizontal="center"/>
    </xf>
    <xf numFmtId="167" fontId="9" fillId="34" borderId="56" xfId="78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3" borderId="22" xfId="0" applyFont="1" applyFill="1" applyBorder="1" applyAlignment="1">
      <alignment horizontal="center"/>
    </xf>
    <xf numFmtId="37" fontId="4" fillId="3" borderId="18" xfId="78" applyNumberFormat="1" applyFont="1" applyFill="1" applyBorder="1" applyAlignment="1">
      <alignment/>
    </xf>
    <xf numFmtId="37" fontId="4" fillId="3" borderId="17" xfId="78" applyNumberFormat="1" applyFont="1" applyFill="1" applyBorder="1" applyAlignment="1">
      <alignment/>
    </xf>
    <xf numFmtId="37" fontId="4" fillId="3" borderId="23" xfId="78" applyNumberFormat="1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37" fontId="1" fillId="3" borderId="17" xfId="0" applyNumberFormat="1" applyFont="1" applyFill="1" applyBorder="1" applyAlignment="1">
      <alignment/>
    </xf>
    <xf numFmtId="3" fontId="1" fillId="3" borderId="17" xfId="78" applyNumberFormat="1" applyFont="1" applyFill="1" applyBorder="1" applyAlignment="1">
      <alignment/>
    </xf>
    <xf numFmtId="3" fontId="4" fillId="3" borderId="17" xfId="78" applyNumberFormat="1" applyFont="1" applyFill="1" applyBorder="1" applyAlignment="1">
      <alignment/>
    </xf>
    <xf numFmtId="167" fontId="1" fillId="3" borderId="17" xfId="0" applyNumberFormat="1" applyFont="1" applyFill="1" applyBorder="1" applyAlignment="1">
      <alignment/>
    </xf>
    <xf numFmtId="167" fontId="4" fillId="3" borderId="17" xfId="78" applyNumberFormat="1" applyFont="1" applyFill="1" applyBorder="1" applyAlignment="1">
      <alignment/>
    </xf>
    <xf numFmtId="167" fontId="4" fillId="3" borderId="23" xfId="78" applyNumberFormat="1" applyFont="1" applyFill="1" applyBorder="1" applyAlignment="1">
      <alignment/>
    </xf>
    <xf numFmtId="167" fontId="1" fillId="3" borderId="17" xfId="78" applyNumberFormat="1" applyFont="1" applyFill="1" applyBorder="1" applyAlignment="1">
      <alignment/>
    </xf>
    <xf numFmtId="37" fontId="1" fillId="3" borderId="17" xfId="78" applyNumberFormat="1" applyFont="1" applyFill="1" applyBorder="1" applyAlignment="1">
      <alignment/>
    </xf>
    <xf numFmtId="0" fontId="1" fillId="3" borderId="6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167" fontId="1" fillId="3" borderId="18" xfId="78" applyNumberFormat="1" applyFont="1" applyFill="1" applyBorder="1" applyAlignment="1">
      <alignment/>
    </xf>
    <xf numFmtId="167" fontId="4" fillId="3" borderId="18" xfId="78" applyNumberFormat="1" applyFont="1" applyFill="1" applyBorder="1" applyAlignment="1">
      <alignment/>
    </xf>
    <xf numFmtId="167" fontId="4" fillId="3" borderId="32" xfId="78" applyNumberFormat="1" applyFont="1" applyFill="1" applyBorder="1" applyAlignment="1">
      <alignment/>
    </xf>
    <xf numFmtId="167" fontId="9" fillId="3" borderId="17" xfId="78" applyNumberFormat="1" applyFont="1" applyFill="1" applyBorder="1" applyAlignment="1">
      <alignment/>
    </xf>
    <xf numFmtId="167" fontId="9" fillId="3" borderId="23" xfId="78" applyNumberFormat="1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167" fontId="9" fillId="3" borderId="16" xfId="78" applyNumberFormat="1" applyFont="1" applyFill="1" applyBorder="1" applyAlignment="1">
      <alignment/>
    </xf>
    <xf numFmtId="0" fontId="1" fillId="39" borderId="46" xfId="0" applyFont="1" applyFill="1" applyBorder="1" applyAlignment="1">
      <alignment horizontal="center"/>
    </xf>
    <xf numFmtId="167" fontId="9" fillId="39" borderId="40" xfId="78" applyNumberFormat="1" applyFont="1" applyFill="1" applyBorder="1" applyAlignment="1">
      <alignment/>
    </xf>
    <xf numFmtId="167" fontId="9" fillId="39" borderId="47" xfId="78" applyNumberFormat="1" applyFont="1" applyFill="1" applyBorder="1" applyAlignment="1">
      <alignment/>
    </xf>
    <xf numFmtId="0" fontId="1" fillId="5" borderId="28" xfId="0" applyFont="1" applyFill="1" applyBorder="1" applyAlignment="1">
      <alignment horizontal="center"/>
    </xf>
    <xf numFmtId="37" fontId="4" fillId="5" borderId="18" xfId="78" applyNumberFormat="1" applyFont="1" applyFill="1" applyBorder="1" applyAlignment="1">
      <alignment/>
    </xf>
    <xf numFmtId="37" fontId="4" fillId="5" borderId="32" xfId="78" applyNumberFormat="1" applyFont="1" applyFill="1" applyBorder="1" applyAlignment="1">
      <alignment/>
    </xf>
    <xf numFmtId="0" fontId="1" fillId="5" borderId="2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37" fontId="4" fillId="5" borderId="17" xfId="78" applyNumberFormat="1" applyFont="1" applyFill="1" applyBorder="1" applyAlignment="1">
      <alignment/>
    </xf>
    <xf numFmtId="37" fontId="4" fillId="5" borderId="23" xfId="78" applyNumberFormat="1" applyFont="1" applyFill="1" applyBorder="1" applyAlignment="1">
      <alignment/>
    </xf>
    <xf numFmtId="37" fontId="1" fillId="5" borderId="17" xfId="0" applyNumberFormat="1" applyFont="1" applyFill="1" applyBorder="1" applyAlignment="1">
      <alignment/>
    </xf>
    <xf numFmtId="3" fontId="1" fillId="5" borderId="17" xfId="78" applyNumberFormat="1" applyFont="1" applyFill="1" applyBorder="1" applyAlignment="1">
      <alignment/>
    </xf>
    <xf numFmtId="167" fontId="1" fillId="5" borderId="17" xfId="0" applyNumberFormat="1" applyFont="1" applyFill="1" applyBorder="1" applyAlignment="1">
      <alignment/>
    </xf>
    <xf numFmtId="167" fontId="4" fillId="5" borderId="17" xfId="78" applyNumberFormat="1" applyFont="1" applyFill="1" applyBorder="1" applyAlignment="1">
      <alignment/>
    </xf>
    <xf numFmtId="167" fontId="4" fillId="5" borderId="23" xfId="78" applyNumberFormat="1" applyFont="1" applyFill="1" applyBorder="1" applyAlignment="1">
      <alignment/>
    </xf>
    <xf numFmtId="167" fontId="1" fillId="5" borderId="17" xfId="78" applyNumberFormat="1" applyFont="1" applyFill="1" applyBorder="1" applyAlignment="1">
      <alignment/>
    </xf>
    <xf numFmtId="37" fontId="1" fillId="5" borderId="17" xfId="78" applyNumberFormat="1" applyFont="1" applyFill="1" applyBorder="1" applyAlignment="1">
      <alignment/>
    </xf>
    <xf numFmtId="0" fontId="1" fillId="5" borderId="61" xfId="0" applyFont="1" applyFill="1" applyBorder="1" applyAlignment="1">
      <alignment horizontal="center"/>
    </xf>
    <xf numFmtId="167" fontId="1" fillId="5" borderId="18" xfId="78" applyNumberFormat="1" applyFont="1" applyFill="1" applyBorder="1" applyAlignment="1">
      <alignment/>
    </xf>
    <xf numFmtId="167" fontId="4" fillId="5" borderId="18" xfId="78" applyNumberFormat="1" applyFont="1" applyFill="1" applyBorder="1" applyAlignment="1">
      <alignment/>
    </xf>
    <xf numFmtId="167" fontId="4" fillId="5" borderId="32" xfId="78" applyNumberFormat="1" applyFont="1" applyFill="1" applyBorder="1" applyAlignment="1">
      <alignment/>
    </xf>
    <xf numFmtId="167" fontId="9" fillId="5" borderId="17" xfId="78" applyNumberFormat="1" applyFont="1" applyFill="1" applyBorder="1" applyAlignment="1">
      <alignment/>
    </xf>
    <xf numFmtId="167" fontId="9" fillId="5" borderId="23" xfId="78" applyNumberFormat="1" applyFont="1" applyFill="1" applyBorder="1" applyAlignment="1">
      <alignment/>
    </xf>
    <xf numFmtId="0" fontId="1" fillId="5" borderId="26" xfId="0" applyFont="1" applyFill="1" applyBorder="1" applyAlignment="1">
      <alignment horizontal="center"/>
    </xf>
    <xf numFmtId="167" fontId="9" fillId="5" borderId="16" xfId="78" applyNumberFormat="1" applyFont="1" applyFill="1" applyBorder="1" applyAlignment="1">
      <alignment/>
    </xf>
    <xf numFmtId="167" fontId="4" fillId="0" borderId="0" xfId="78" applyNumberFormat="1" applyFont="1" applyAlignment="1">
      <alignment/>
    </xf>
    <xf numFmtId="0" fontId="4" fillId="28" borderId="6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167" fontId="4" fillId="0" borderId="17" xfId="78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0" fontId="4" fillId="0" borderId="17" xfId="123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center"/>
    </xf>
    <xf numFmtId="0" fontId="1" fillId="34" borderId="64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 wrapText="1"/>
    </xf>
    <xf numFmtId="167" fontId="1" fillId="34" borderId="65" xfId="78" applyNumberFormat="1" applyFont="1" applyFill="1" applyBorder="1" applyAlignment="1">
      <alignment horizontal="center"/>
    </xf>
    <xf numFmtId="167" fontId="1" fillId="34" borderId="66" xfId="78" applyNumberFormat="1" applyFont="1" applyFill="1" applyBorder="1" applyAlignment="1">
      <alignment horizontal="center"/>
    </xf>
    <xf numFmtId="0" fontId="9" fillId="34" borderId="67" xfId="0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 wrapText="1"/>
    </xf>
    <xf numFmtId="167" fontId="9" fillId="34" borderId="68" xfId="78" applyNumberFormat="1" applyFont="1" applyFill="1" applyBorder="1" applyAlignment="1">
      <alignment horizontal="center"/>
    </xf>
    <xf numFmtId="167" fontId="9" fillId="34" borderId="69" xfId="78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167" fontId="9" fillId="34" borderId="51" xfId="78" applyNumberFormat="1" applyFont="1" applyFill="1" applyBorder="1" applyAlignment="1">
      <alignment horizontal="center"/>
    </xf>
    <xf numFmtId="167" fontId="9" fillId="34" borderId="53" xfId="78" applyNumberFormat="1" applyFont="1" applyFill="1" applyBorder="1" applyAlignment="1">
      <alignment horizontal="center"/>
    </xf>
    <xf numFmtId="167" fontId="1" fillId="28" borderId="17" xfId="78" applyNumberFormat="1" applyFont="1" applyFill="1" applyBorder="1" applyAlignment="1">
      <alignment/>
    </xf>
    <xf numFmtId="167" fontId="1" fillId="28" borderId="23" xfId="78" applyNumberFormat="1" applyFont="1" applyFill="1" applyBorder="1" applyAlignment="1">
      <alignment/>
    </xf>
    <xf numFmtId="167" fontId="1" fillId="0" borderId="17" xfId="78" applyNumberFormat="1" applyFont="1" applyBorder="1" applyAlignment="1">
      <alignment/>
    </xf>
    <xf numFmtId="167" fontId="4" fillId="0" borderId="23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7" fontId="4" fillId="0" borderId="16" xfId="78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6" xfId="0" applyFont="1" applyBorder="1" applyAlignment="1">
      <alignment/>
    </xf>
    <xf numFmtId="0" fontId="1" fillId="28" borderId="64" xfId="0" applyFont="1" applyFill="1" applyBorder="1" applyAlignment="1">
      <alignment horizontal="center"/>
    </xf>
    <xf numFmtId="0" fontId="1" fillId="28" borderId="65" xfId="0" applyFont="1" applyFill="1" applyBorder="1" applyAlignment="1">
      <alignment horizontal="center"/>
    </xf>
    <xf numFmtId="0" fontId="1" fillId="28" borderId="65" xfId="0" applyFont="1" applyFill="1" applyBorder="1" applyAlignment="1">
      <alignment horizontal="center" wrapText="1"/>
    </xf>
    <xf numFmtId="167" fontId="1" fillId="28" borderId="65" xfId="78" applyNumberFormat="1" applyFont="1" applyFill="1" applyBorder="1" applyAlignment="1">
      <alignment horizontal="center"/>
    </xf>
    <xf numFmtId="167" fontId="1" fillId="28" borderId="66" xfId="78" applyNumberFormat="1" applyFont="1" applyFill="1" applyBorder="1" applyAlignment="1">
      <alignment horizontal="center"/>
    </xf>
    <xf numFmtId="0" fontId="9" fillId="28" borderId="48" xfId="0" applyFont="1" applyFill="1" applyBorder="1" applyAlignment="1">
      <alignment horizontal="center"/>
    </xf>
    <xf numFmtId="0" fontId="9" fillId="28" borderId="49" xfId="0" applyFont="1" applyFill="1" applyBorder="1" applyAlignment="1">
      <alignment horizontal="center"/>
    </xf>
    <xf numFmtId="0" fontId="9" fillId="28" borderId="49" xfId="0" applyFont="1" applyFill="1" applyBorder="1" applyAlignment="1">
      <alignment horizontal="center" wrapText="1"/>
    </xf>
    <xf numFmtId="167" fontId="9" fillId="28" borderId="49" xfId="78" applyNumberFormat="1" applyFont="1" applyFill="1" applyBorder="1" applyAlignment="1">
      <alignment horizontal="center"/>
    </xf>
    <xf numFmtId="167" fontId="9" fillId="28" borderId="70" xfId="78" applyNumberFormat="1" applyFont="1" applyFill="1" applyBorder="1" applyAlignment="1">
      <alignment horizontal="center"/>
    </xf>
    <xf numFmtId="167" fontId="9" fillId="28" borderId="71" xfId="78" applyNumberFormat="1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40" borderId="72" xfId="0" applyFont="1" applyFill="1" applyBorder="1" applyAlignment="1">
      <alignment horizontal="center"/>
    </xf>
    <xf numFmtId="0" fontId="1" fillId="40" borderId="73" xfId="0" applyFont="1" applyFill="1" applyBorder="1" applyAlignment="1">
      <alignment horizontal="center"/>
    </xf>
    <xf numFmtId="0" fontId="1" fillId="40" borderId="73" xfId="0" applyFont="1" applyFill="1" applyBorder="1" applyAlignment="1">
      <alignment horizontal="center" wrapText="1"/>
    </xf>
    <xf numFmtId="167" fontId="1" fillId="40" borderId="73" xfId="78" applyNumberFormat="1" applyFont="1" applyFill="1" applyBorder="1" applyAlignment="1">
      <alignment horizontal="center"/>
    </xf>
    <xf numFmtId="167" fontId="1" fillId="40" borderId="74" xfId="78" applyNumberFormat="1" applyFont="1" applyFill="1" applyBorder="1" applyAlignment="1">
      <alignment horizontal="center"/>
    </xf>
    <xf numFmtId="0" fontId="9" fillId="40" borderId="75" xfId="0" applyFont="1" applyFill="1" applyBorder="1" applyAlignment="1">
      <alignment horizontal="center" wrapText="1"/>
    </xf>
    <xf numFmtId="0" fontId="9" fillId="40" borderId="51" xfId="0" applyFont="1" applyFill="1" applyBorder="1" applyAlignment="1">
      <alignment horizontal="center" wrapText="1"/>
    </xf>
    <xf numFmtId="0" fontId="1" fillId="28" borderId="1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" fillId="5" borderId="17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center" wrapText="1"/>
    </xf>
    <xf numFmtId="0" fontId="9" fillId="28" borderId="16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9" fillId="28" borderId="17" xfId="0" applyFont="1" applyFill="1" applyBorder="1" applyAlignment="1">
      <alignment horizontal="left" wrapText="1"/>
    </xf>
    <xf numFmtId="0" fontId="9" fillId="28" borderId="17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left" wrapText="1"/>
    </xf>
    <xf numFmtId="0" fontId="9" fillId="3" borderId="1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wrapText="1"/>
    </xf>
    <xf numFmtId="0" fontId="8" fillId="28" borderId="58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wrapText="1"/>
    </xf>
    <xf numFmtId="0" fontId="8" fillId="28" borderId="35" xfId="0" applyFont="1" applyFill="1" applyBorder="1" applyAlignment="1">
      <alignment horizontal="center" wrapText="1"/>
    </xf>
    <xf numFmtId="0" fontId="12" fillId="0" borderId="0" xfId="0" applyNumberFormat="1" applyFont="1" applyAlignment="1">
      <alignment vertical="top"/>
    </xf>
    <xf numFmtId="167" fontId="4" fillId="0" borderId="23" xfId="0" applyNumberFormat="1" applyFont="1" applyBorder="1" applyAlignment="1">
      <alignment vertical="top" wrapText="1"/>
    </xf>
    <xf numFmtId="167" fontId="12" fillId="2" borderId="17" xfId="78" applyNumberFormat="1" applyFont="1" applyFill="1" applyBorder="1" applyAlignment="1">
      <alignment/>
    </xf>
    <xf numFmtId="9" fontId="12" fillId="2" borderId="17" xfId="0" applyNumberFormat="1" applyFont="1" applyFill="1" applyBorder="1" applyAlignment="1">
      <alignment/>
    </xf>
    <xf numFmtId="0" fontId="12" fillId="2" borderId="17" xfId="0" applyFont="1" applyFill="1" applyBorder="1" applyAlignment="1">
      <alignment/>
    </xf>
    <xf numFmtId="9" fontId="12" fillId="2" borderId="25" xfId="0" applyNumberFormat="1" applyFont="1" applyFill="1" applyBorder="1" applyAlignment="1">
      <alignment/>
    </xf>
    <xf numFmtId="0" fontId="12" fillId="2" borderId="23" xfId="0" applyFont="1" applyFill="1" applyBorder="1" applyAlignment="1">
      <alignment/>
    </xf>
    <xf numFmtId="167" fontId="4" fillId="0" borderId="76" xfId="78" applyNumberFormat="1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12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vertical="top" wrapText="1"/>
    </xf>
    <xf numFmtId="0" fontId="4" fillId="2" borderId="17" xfId="0" applyFont="1" applyFill="1" applyBorder="1" applyAlignment="1">
      <alignment horizontal="center" vertical="top" wrapText="1"/>
    </xf>
    <xf numFmtId="167" fontId="4" fillId="2" borderId="17" xfId="78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165" fontId="12" fillId="5" borderId="18" xfId="0" applyNumberFormat="1" applyFont="1" applyFill="1" applyBorder="1" applyAlignment="1">
      <alignment/>
    </xf>
    <xf numFmtId="9" fontId="4" fillId="2" borderId="17" xfId="123" applyFont="1" applyFill="1" applyBorder="1" applyAlignment="1">
      <alignment horizontal="right"/>
    </xf>
    <xf numFmtId="167" fontId="1" fillId="2" borderId="17" xfId="78" applyNumberFormat="1" applyFont="1" applyFill="1" applyBorder="1" applyAlignment="1">
      <alignment/>
    </xf>
    <xf numFmtId="9" fontId="4" fillId="2" borderId="17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6" fontId="12" fillId="2" borderId="17" xfId="123" applyNumberFormat="1" applyFont="1" applyFill="1" applyBorder="1" applyAlignment="1">
      <alignment/>
    </xf>
    <xf numFmtId="0" fontId="1" fillId="0" borderId="33" xfId="0" applyFont="1" applyBorder="1" applyAlignment="1">
      <alignment horizontal="left"/>
    </xf>
    <xf numFmtId="167" fontId="1" fillId="28" borderId="49" xfId="0" applyNumberFormat="1" applyFont="1" applyFill="1" applyBorder="1" applyAlignment="1">
      <alignment/>
    </xf>
    <xf numFmtId="37" fontId="8" fillId="28" borderId="77" xfId="78" applyNumberFormat="1" applyFont="1" applyFill="1" applyBorder="1" applyAlignment="1">
      <alignment/>
    </xf>
    <xf numFmtId="0" fontId="1" fillId="5" borderId="24" xfId="0" applyFont="1" applyFill="1" applyBorder="1" applyAlignment="1">
      <alignment horizontal="center"/>
    </xf>
    <xf numFmtId="167" fontId="9" fillId="5" borderId="25" xfId="78" applyNumberFormat="1" applyFont="1" applyFill="1" applyBorder="1" applyAlignment="1">
      <alignment/>
    </xf>
    <xf numFmtId="167" fontId="9" fillId="5" borderId="30" xfId="78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167" fontId="4" fillId="0" borderId="49" xfId="78" applyNumberFormat="1" applyFont="1" applyBorder="1" applyAlignment="1">
      <alignment/>
    </xf>
    <xf numFmtId="0" fontId="4" fillId="0" borderId="50" xfId="0" applyFont="1" applyBorder="1" applyAlignment="1">
      <alignment/>
    </xf>
    <xf numFmtId="0" fontId="1" fillId="28" borderId="63" xfId="0" applyFont="1" applyFill="1" applyBorder="1" applyAlignment="1">
      <alignment wrapText="1"/>
    </xf>
    <xf numFmtId="0" fontId="1" fillId="40" borderId="78" xfId="0" applyFont="1" applyFill="1" applyBorder="1" applyAlignment="1">
      <alignment horizontal="center"/>
    </xf>
    <xf numFmtId="0" fontId="4" fillId="40" borderId="75" xfId="0" applyFont="1" applyFill="1" applyBorder="1" applyAlignment="1">
      <alignment horizontal="left"/>
    </xf>
    <xf numFmtId="0" fontId="4" fillId="40" borderId="75" xfId="0" applyFont="1" applyFill="1" applyBorder="1" applyAlignment="1">
      <alignment horizontal="center"/>
    </xf>
    <xf numFmtId="167" fontId="4" fillId="40" borderId="75" xfId="78" applyNumberFormat="1" applyFont="1" applyFill="1" applyBorder="1" applyAlignment="1">
      <alignment/>
    </xf>
    <xf numFmtId="167" fontId="4" fillId="40" borderId="79" xfId="78" applyNumberFormat="1" applyFont="1" applyFill="1" applyBorder="1" applyAlignment="1">
      <alignment/>
    </xf>
    <xf numFmtId="0" fontId="1" fillId="40" borderId="52" xfId="0" applyFont="1" applyFill="1" applyBorder="1" applyAlignment="1">
      <alignment horizontal="center"/>
    </xf>
    <xf numFmtId="0" fontId="4" fillId="40" borderId="51" xfId="0" applyFont="1" applyFill="1" applyBorder="1" applyAlignment="1">
      <alignment horizontal="left"/>
    </xf>
    <xf numFmtId="0" fontId="4" fillId="40" borderId="51" xfId="0" applyFont="1" applyFill="1" applyBorder="1" applyAlignment="1">
      <alignment horizontal="center"/>
    </xf>
    <xf numFmtId="167" fontId="4" fillId="40" borderId="51" xfId="78" applyNumberFormat="1" applyFont="1" applyFill="1" applyBorder="1" applyAlignment="1">
      <alignment/>
    </xf>
    <xf numFmtId="167" fontId="4" fillId="40" borderId="53" xfId="78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4" fillId="4" borderId="25" xfId="0" applyFont="1" applyFill="1" applyBorder="1" applyAlignment="1">
      <alignment wrapText="1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1" xfId="0" applyFont="1" applyBorder="1" applyAlignment="1">
      <alignment wrapText="1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1" fillId="28" borderId="83" xfId="0" applyFont="1" applyFill="1" applyBorder="1" applyAlignment="1">
      <alignment horizontal="center"/>
    </xf>
    <xf numFmtId="37" fontId="9" fillId="28" borderId="35" xfId="78" applyNumberFormat="1" applyFont="1" applyFill="1" applyBorder="1" applyAlignment="1">
      <alignment/>
    </xf>
    <xf numFmtId="37" fontId="9" fillId="28" borderId="36" xfId="78" applyNumberFormat="1" applyFont="1" applyFill="1" applyBorder="1" applyAlignment="1">
      <alignment/>
    </xf>
    <xf numFmtId="0" fontId="1" fillId="34" borderId="84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167" fontId="8" fillId="34" borderId="25" xfId="78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4" borderId="2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7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167" fontId="9" fillId="0" borderId="17" xfId="78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167" fontId="4" fillId="0" borderId="17" xfId="78" applyNumberFormat="1" applyFont="1" applyFill="1" applyBorder="1" applyAlignment="1">
      <alignment/>
    </xf>
    <xf numFmtId="167" fontId="4" fillId="0" borderId="17" xfId="78" applyNumberFormat="1" applyFont="1" applyBorder="1" applyAlignment="1">
      <alignment horizontal="left"/>
    </xf>
    <xf numFmtId="167" fontId="4" fillId="0" borderId="17" xfId="78" applyNumberFormat="1" applyFont="1" applyFill="1" applyBorder="1" applyAlignment="1">
      <alignment horizontal="left"/>
    </xf>
    <xf numFmtId="9" fontId="4" fillId="0" borderId="17" xfId="0" applyNumberFormat="1" applyFont="1" applyBorder="1" applyAlignment="1">
      <alignment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/>
    </xf>
    <xf numFmtId="0" fontId="8" fillId="4" borderId="25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/>
    </xf>
    <xf numFmtId="167" fontId="8" fillId="4" borderId="25" xfId="0" applyNumberFormat="1" applyFont="1" applyFill="1" applyBorder="1" applyAlignment="1">
      <alignment/>
    </xf>
    <xf numFmtId="167" fontId="8" fillId="4" borderId="30" xfId="0" applyNumberFormat="1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1" fillId="28" borderId="48" xfId="0" applyFont="1" applyFill="1" applyBorder="1" applyAlignment="1">
      <alignment horizontal="center"/>
    </xf>
    <xf numFmtId="0" fontId="4" fillId="0" borderId="49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43" fontId="4" fillId="0" borderId="25" xfId="78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9" fontId="4" fillId="0" borderId="49" xfId="123" applyFont="1" applyBorder="1" applyAlignment="1">
      <alignment/>
    </xf>
    <xf numFmtId="170" fontId="4" fillId="0" borderId="17" xfId="78" applyNumberFormat="1" applyFont="1" applyBorder="1" applyAlignment="1">
      <alignment/>
    </xf>
    <xf numFmtId="9" fontId="4" fillId="0" borderId="17" xfId="123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167" fontId="7" fillId="0" borderId="27" xfId="78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28" borderId="17" xfId="0" applyFont="1" applyFill="1" applyBorder="1" applyAlignment="1">
      <alignment horizontal="center" wrapText="1"/>
    </xf>
    <xf numFmtId="167" fontId="12" fillId="28" borderId="17" xfId="78" applyNumberFormat="1" applyFont="1" applyFill="1" applyBorder="1" applyAlignment="1">
      <alignment/>
    </xf>
    <xf numFmtId="0" fontId="7" fillId="28" borderId="17" xfId="0" applyFont="1" applyFill="1" applyBorder="1" applyAlignment="1">
      <alignment/>
    </xf>
    <xf numFmtId="0" fontId="7" fillId="28" borderId="23" xfId="0" applyFont="1" applyFill="1" applyBorder="1" applyAlignment="1">
      <alignment/>
    </xf>
    <xf numFmtId="0" fontId="12" fillId="0" borderId="22" xfId="0" applyFont="1" applyBorder="1" applyAlignment="1">
      <alignment/>
    </xf>
    <xf numFmtId="0" fontId="7" fillId="28" borderId="22" xfId="0" applyFont="1" applyFill="1" applyBorder="1" applyAlignment="1">
      <alignment horizontal="center"/>
    </xf>
    <xf numFmtId="0" fontId="8" fillId="28" borderId="17" xfId="0" applyFont="1" applyFill="1" applyBorder="1" applyAlignment="1">
      <alignment horizontal="center" wrapText="1"/>
    </xf>
    <xf numFmtId="37" fontId="15" fillId="28" borderId="17" xfId="78" applyNumberFormat="1" applyFont="1" applyFill="1" applyBorder="1" applyAlignment="1">
      <alignment/>
    </xf>
    <xf numFmtId="37" fontId="15" fillId="28" borderId="23" xfId="78" applyNumberFormat="1" applyFont="1" applyFill="1" applyBorder="1" applyAlignment="1">
      <alignment/>
    </xf>
    <xf numFmtId="167" fontId="4" fillId="34" borderId="17" xfId="78" applyNumberFormat="1" applyFont="1" applyFill="1" applyBorder="1" applyAlignment="1">
      <alignment horizontal="center" wrapText="1"/>
    </xf>
    <xf numFmtId="167" fontId="4" fillId="34" borderId="23" xfId="78" applyNumberFormat="1" applyFont="1" applyFill="1" applyBorder="1" applyAlignment="1">
      <alignment horizontal="center" wrapText="1"/>
    </xf>
    <xf numFmtId="0" fontId="14" fillId="34" borderId="22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167" fontId="14" fillId="34" borderId="17" xfId="78" applyNumberFormat="1" applyFont="1" applyFill="1" applyBorder="1" applyAlignment="1">
      <alignment horizontal="center"/>
    </xf>
    <xf numFmtId="167" fontId="8" fillId="34" borderId="17" xfId="78" applyNumberFormat="1" applyFont="1" applyFill="1" applyBorder="1" applyAlignment="1">
      <alignment horizontal="center" wrapText="1"/>
    </xf>
    <xf numFmtId="167" fontId="8" fillId="34" borderId="23" xfId="78" applyNumberFormat="1" applyFont="1" applyFill="1" applyBorder="1" applyAlignment="1">
      <alignment horizontal="center" wrapText="1"/>
    </xf>
    <xf numFmtId="0" fontId="12" fillId="4" borderId="23" xfId="0" applyFont="1" applyFill="1" applyBorder="1" applyAlignment="1">
      <alignment/>
    </xf>
    <xf numFmtId="0" fontId="12" fillId="0" borderId="85" xfId="0" applyFont="1" applyBorder="1" applyAlignment="1">
      <alignment horizontal="center"/>
    </xf>
    <xf numFmtId="0" fontId="7" fillId="0" borderId="85" xfId="0" applyFont="1" applyBorder="1" applyAlignment="1">
      <alignment/>
    </xf>
    <xf numFmtId="0" fontId="12" fillId="0" borderId="85" xfId="0" applyFont="1" applyBorder="1" applyAlignment="1">
      <alignment/>
    </xf>
    <xf numFmtId="0" fontId="12" fillId="0" borderId="85" xfId="0" applyFont="1" applyBorder="1" applyAlignment="1">
      <alignment horizontal="left"/>
    </xf>
    <xf numFmtId="0" fontId="12" fillId="0" borderId="8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167" fontId="12" fillId="0" borderId="0" xfId="78" applyNumberFormat="1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4" fontId="4" fillId="0" borderId="17" xfId="79" applyFont="1" applyBorder="1" applyAlignment="1">
      <alignment horizontal="right"/>
    </xf>
    <xf numFmtId="0" fontId="4" fillId="0" borderId="17" xfId="0" applyFont="1" applyFill="1" applyBorder="1" applyAlignment="1">
      <alignment wrapText="1"/>
    </xf>
    <xf numFmtId="167" fontId="4" fillId="0" borderId="17" xfId="0" applyNumberFormat="1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/>
    </xf>
    <xf numFmtId="0" fontId="8" fillId="3" borderId="25" xfId="0" applyFont="1" applyFill="1" applyBorder="1" applyAlignment="1">
      <alignment wrapText="1"/>
    </xf>
    <xf numFmtId="0" fontId="8" fillId="3" borderId="25" xfId="0" applyFont="1" applyFill="1" applyBorder="1" applyAlignment="1">
      <alignment horizontal="center"/>
    </xf>
    <xf numFmtId="167" fontId="8" fillId="3" borderId="25" xfId="0" applyNumberFormat="1" applyFont="1" applyFill="1" applyBorder="1" applyAlignment="1">
      <alignment/>
    </xf>
    <xf numFmtId="167" fontId="8" fillId="3" borderId="3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9" fillId="28" borderId="16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wrapText="1"/>
    </xf>
    <xf numFmtId="0" fontId="8" fillId="40" borderId="27" xfId="0" applyFont="1" applyFill="1" applyBorder="1" applyAlignment="1">
      <alignment horizontal="left" wrapText="1"/>
    </xf>
    <xf numFmtId="0" fontId="8" fillId="34" borderId="27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center" wrapText="1"/>
    </xf>
    <xf numFmtId="0" fontId="8" fillId="28" borderId="2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8" fillId="34" borderId="25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left" wrapText="1"/>
    </xf>
    <xf numFmtId="0" fontId="1" fillId="28" borderId="86" xfId="0" applyFont="1" applyFill="1" applyBorder="1" applyAlignment="1">
      <alignment horizontal="left" wrapText="1"/>
    </xf>
    <xf numFmtId="0" fontId="1" fillId="28" borderId="87" xfId="0" applyFont="1" applyFill="1" applyBorder="1" applyAlignment="1">
      <alignment horizontal="left" wrapText="1"/>
    </xf>
    <xf numFmtId="0" fontId="8" fillId="28" borderId="35" xfId="0" applyFont="1" applyFill="1" applyBorder="1" applyAlignment="1">
      <alignment horizontal="center" wrapText="1"/>
    </xf>
    <xf numFmtId="0" fontId="8" fillId="34" borderId="43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" fillId="28" borderId="63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28" borderId="17" xfId="0" applyFont="1" applyFill="1" applyBorder="1" applyAlignment="1">
      <alignment horizontal="left" wrapText="1"/>
    </xf>
    <xf numFmtId="0" fontId="1" fillId="28" borderId="70" xfId="0" applyFont="1" applyFill="1" applyBorder="1" applyAlignment="1">
      <alignment horizontal="left" wrapText="1"/>
    </xf>
    <xf numFmtId="0" fontId="1" fillId="28" borderId="27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5" borderId="17" xfId="0" applyFont="1" applyFill="1" applyBorder="1" applyAlignment="1">
      <alignment horizontal="left" wrapText="1"/>
    </xf>
    <xf numFmtId="0" fontId="8" fillId="28" borderId="58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left" wrapText="1"/>
    </xf>
    <xf numFmtId="0" fontId="9" fillId="28" borderId="17" xfId="0" applyFont="1" applyFill="1" applyBorder="1" applyAlignment="1">
      <alignment horizontal="left" wrapText="1"/>
    </xf>
    <xf numFmtId="0" fontId="9" fillId="28" borderId="17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left" wrapText="1"/>
    </xf>
    <xf numFmtId="0" fontId="9" fillId="3" borderId="1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wrapText="1"/>
    </xf>
    <xf numFmtId="0" fontId="8" fillId="5" borderId="18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wrapText="1"/>
    </xf>
    <xf numFmtId="0" fontId="7" fillId="28" borderId="17" xfId="0" applyFont="1" applyFill="1" applyBorder="1" applyAlignment="1">
      <alignment horizontal="left" wrapText="1"/>
    </xf>
    <xf numFmtId="0" fontId="8" fillId="28" borderId="17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2" xfId="39"/>
    <cellStyle name="Accent2 - 20%" xfId="40"/>
    <cellStyle name="Accent2 - 40%" xfId="41"/>
    <cellStyle name="Accent2 - 60%" xfId="42"/>
    <cellStyle name="Accent2 2" xfId="43"/>
    <cellStyle name="Accent2 3" xfId="44"/>
    <cellStyle name="Accent3" xfId="45"/>
    <cellStyle name="Accent3 - 20%" xfId="46"/>
    <cellStyle name="Accent3 - 40%" xfId="47"/>
    <cellStyle name="Accent3 - 60%" xfId="48"/>
    <cellStyle name="Accent3 2" xfId="49"/>
    <cellStyle name="Accent3 3" xfId="50"/>
    <cellStyle name="Accent4" xfId="51"/>
    <cellStyle name="Accent4 - 20%" xfId="52"/>
    <cellStyle name="Accent4 - 40%" xfId="53"/>
    <cellStyle name="Accent4 - 60%" xfId="54"/>
    <cellStyle name="Accent4 2" xfId="55"/>
    <cellStyle name="Accent4 3" xfId="56"/>
    <cellStyle name="Accent5" xfId="57"/>
    <cellStyle name="Accent5 - 20%" xfId="58"/>
    <cellStyle name="Accent5 - 40%" xfId="59"/>
    <cellStyle name="Accent5 - 60%" xfId="60"/>
    <cellStyle name="Accent5 2" xfId="61"/>
    <cellStyle name="Accent5 3" xfId="62"/>
    <cellStyle name="Accent6" xfId="63"/>
    <cellStyle name="Accent6 - 20%" xfId="64"/>
    <cellStyle name="Accent6 - 40%" xfId="65"/>
    <cellStyle name="Accent6 - 60%" xfId="66"/>
    <cellStyle name="Accent6 2" xfId="67"/>
    <cellStyle name="Accent6 3" xfId="68"/>
    <cellStyle name="Bad" xfId="69"/>
    <cellStyle name="Bad 2" xfId="70"/>
    <cellStyle name="Bad 3" xfId="71"/>
    <cellStyle name="Calculation" xfId="72"/>
    <cellStyle name="Calculation 2" xfId="73"/>
    <cellStyle name="Calculation 3" xfId="74"/>
    <cellStyle name="Check Cell" xfId="75"/>
    <cellStyle name="Check Cell 2" xfId="76"/>
    <cellStyle name="Check Cell 3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Followed Hyperlink" xfId="86"/>
    <cellStyle name="Good" xfId="87"/>
    <cellStyle name="Good 2" xfId="88"/>
    <cellStyle name="Good 3" xfId="89"/>
    <cellStyle name="hai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2" xfId="113"/>
    <cellStyle name="Normal 2 2" xfId="114"/>
    <cellStyle name="Normal 2 3" xfId="115"/>
    <cellStyle name="Normal_Bieu 46-47-48-49 Chi NSNN theo linh vuc 96-2007" xfId="116"/>
    <cellStyle name="Note" xfId="117"/>
    <cellStyle name="Note 2" xfId="118"/>
    <cellStyle name="Note 3" xfId="119"/>
    <cellStyle name="Output" xfId="120"/>
    <cellStyle name="Output 2" xfId="121"/>
    <cellStyle name="Output 3" xfId="122"/>
    <cellStyle name="Percent" xfId="123"/>
    <cellStyle name="Sheet Title" xfId="124"/>
    <cellStyle name="Title" xfId="125"/>
    <cellStyle name="Total" xfId="126"/>
    <cellStyle name="Total 2" xfId="127"/>
    <cellStyle name="Total 3" xfId="128"/>
    <cellStyle name="Warning Text" xfId="129"/>
    <cellStyle name="Warning Text 2" xfId="130"/>
    <cellStyle name="Warning Text 3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125" zoomScaleNormal="125" zoomScalePageLayoutView="125" workbookViewId="0" topLeftCell="A1">
      <pane xSplit="2" ySplit="2" topLeftCell="E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8" sqref="A28"/>
    </sheetView>
  </sheetViews>
  <sheetFormatPr defaultColWidth="8.8515625" defaultRowHeight="15"/>
  <cols>
    <col min="1" max="1" width="10.28125" style="165" bestFit="1" customWidth="1"/>
    <col min="2" max="2" width="30.00390625" style="133" bestFit="1" customWidth="1"/>
    <col min="3" max="3" width="15.421875" style="133" bestFit="1" customWidth="1"/>
    <col min="4" max="13" width="14.421875" style="133" bestFit="1" customWidth="1"/>
    <col min="14" max="16384" width="8.8515625" style="133" customWidth="1"/>
  </cols>
  <sheetData>
    <row r="1" ht="19.5" customHeight="1" thickBot="1">
      <c r="B1" s="614" t="s">
        <v>455</v>
      </c>
    </row>
    <row r="2" spans="1:13" ht="27.75" customHeight="1" thickBot="1">
      <c r="A2" s="178" t="s">
        <v>391</v>
      </c>
      <c r="B2" s="129" t="s">
        <v>392</v>
      </c>
      <c r="C2" s="131" t="s">
        <v>255</v>
      </c>
      <c r="D2" s="132" t="s">
        <v>256</v>
      </c>
      <c r="E2" s="132" t="s">
        <v>257</v>
      </c>
      <c r="F2" s="132" t="s">
        <v>258</v>
      </c>
      <c r="G2" s="132" t="s">
        <v>259</v>
      </c>
      <c r="H2" s="132" t="s">
        <v>260</v>
      </c>
      <c r="I2" s="132" t="s">
        <v>261</v>
      </c>
      <c r="J2" s="132" t="s">
        <v>262</v>
      </c>
      <c r="K2" s="132" t="s">
        <v>263</v>
      </c>
      <c r="L2" s="132" t="s">
        <v>264</v>
      </c>
      <c r="M2" s="132" t="s">
        <v>265</v>
      </c>
    </row>
    <row r="3" spans="1:13" ht="21.75" customHeight="1">
      <c r="A3" s="186" t="s">
        <v>72</v>
      </c>
      <c r="B3" s="53" t="s">
        <v>393</v>
      </c>
      <c r="C3" s="188">
        <f>'Vấn đề 2'!E35</f>
        <v>31773503166.95735</v>
      </c>
      <c r="D3" s="188">
        <f>'Vấn đề 2'!F35</f>
        <v>1674542632.909091</v>
      </c>
      <c r="E3" s="188">
        <f>'Vấn đề 2'!G35</f>
        <v>1895649056.0705454</v>
      </c>
      <c r="F3" s="188">
        <f>'Vấn đề 2'!H35</f>
        <v>2148871883.516012</v>
      </c>
      <c r="G3" s="188">
        <f>'Vấn đề 2'!I35</f>
        <v>2439038406.2756844</v>
      </c>
      <c r="H3" s="188">
        <f>'Vấn đề 2'!J35</f>
        <v>2771709680.8630395</v>
      </c>
      <c r="I3" s="188">
        <f>'Vấn đề 2'!K35</f>
        <v>3153292464.100546</v>
      </c>
      <c r="J3" s="188">
        <f>'Vấn đề 2'!L35</f>
        <v>3591168242.7288237</v>
      </c>
      <c r="K3" s="188">
        <f>'Vấn đề 2'!M35</f>
        <v>4093841969.456959</v>
      </c>
      <c r="L3" s="188">
        <f>'Vấn đề 2'!N35</f>
        <v>4671113516.152635</v>
      </c>
      <c r="M3" s="189">
        <f>'Vấn đề 2'!O35</f>
        <v>5334275314.884016</v>
      </c>
    </row>
    <row r="4" spans="1:13" ht="21.75" customHeight="1">
      <c r="A4" s="185"/>
      <c r="B4" s="53" t="s">
        <v>394</v>
      </c>
      <c r="C4" s="151">
        <f>'Vấn đề 2'!E36</f>
        <v>23023427162.41232</v>
      </c>
      <c r="D4" s="151">
        <f>'Vấn đề 2'!F36</f>
        <v>1219513105.6363635</v>
      </c>
      <c r="E4" s="151">
        <f>'Vấn đề 2'!G36</f>
        <v>1379038866.1069095</v>
      </c>
      <c r="F4" s="151">
        <f>'Vấn đề 2'!H36</f>
        <v>1561653002.357961</v>
      </c>
      <c r="G4" s="151">
        <f>'Vấn đề 2'!I36</f>
        <v>1770821634.5086498</v>
      </c>
      <c r="H4" s="151">
        <f>'Vấn đề 2'!J36</f>
        <v>2010537540.2147024</v>
      </c>
      <c r="I4" s="151">
        <f>'Vấn đề 2'!K36</f>
        <v>2285400485.59039</v>
      </c>
      <c r="J4" s="151">
        <f>'Vấn đề 2'!L36</f>
        <v>2600709823.862565</v>
      </c>
      <c r="K4" s="151">
        <f>'Vấn đề 2'!M36</f>
        <v>2962571235.9382787</v>
      </c>
      <c r="L4" s="151">
        <f>'Vấn đề 2'!N36</f>
        <v>3378019773.426658</v>
      </c>
      <c r="M4" s="156">
        <f>'Vấn đề 2'!O36</f>
        <v>3855161694.769839</v>
      </c>
    </row>
    <row r="5" spans="1:13" ht="21.75" customHeight="1">
      <c r="A5" s="185"/>
      <c r="B5" s="53" t="s">
        <v>395</v>
      </c>
      <c r="C5" s="179">
        <f>'Vấn đề 2'!E37</f>
        <v>8750076004.545033</v>
      </c>
      <c r="D5" s="179">
        <f>'Vấn đề 2'!F37</f>
        <v>455029527.27272725</v>
      </c>
      <c r="E5" s="179">
        <f>'Vấn đề 2'!G37</f>
        <v>516610189.9636364</v>
      </c>
      <c r="F5" s="179">
        <f>'Vấn đề 2'!H37</f>
        <v>587218881.158051</v>
      </c>
      <c r="G5" s="179">
        <f>'Vấn đề 2'!I37</f>
        <v>668216771.7670349</v>
      </c>
      <c r="H5" s="179">
        <f>'Vấn đề 2'!J37</f>
        <v>761172140.648337</v>
      </c>
      <c r="I5" s="179">
        <f>'Vấn đề 2'!K37</f>
        <v>867891978.5101564</v>
      </c>
      <c r="J5" s="179">
        <f>'Vấn đề 2'!L37</f>
        <v>990458418.866258</v>
      </c>
      <c r="K5" s="179">
        <f>'Vấn đề 2'!M37</f>
        <v>1131270733.51868</v>
      </c>
      <c r="L5" s="179">
        <f>'Vấn đề 2'!N37</f>
        <v>1293093742.7259755</v>
      </c>
      <c r="M5" s="180">
        <f>'Vấn đề 2'!O37</f>
        <v>1479113620.114177</v>
      </c>
    </row>
    <row r="6" spans="1:13" ht="21.75" customHeight="1">
      <c r="A6" s="185"/>
      <c r="B6" s="53" t="s">
        <v>396</v>
      </c>
      <c r="C6" s="179">
        <f>'Vấn đề 2'!E260</f>
        <v>0</v>
      </c>
      <c r="D6" s="179">
        <f>'Vấn đề 2'!F260</f>
        <v>0</v>
      </c>
      <c r="E6" s="179">
        <f>'Vấn đề 2'!G260</f>
        <v>0</v>
      </c>
      <c r="F6" s="179">
        <f>'Vấn đề 2'!H260</f>
        <v>0</v>
      </c>
      <c r="G6" s="179">
        <f>'Vấn đề 2'!I260</f>
        <v>0</v>
      </c>
      <c r="H6" s="179">
        <f>'Vấn đề 2'!J260</f>
        <v>0</v>
      </c>
      <c r="I6" s="179">
        <f>'Vấn đề 2'!K260</f>
        <v>0</v>
      </c>
      <c r="J6" s="179">
        <f>'Vấn đề 2'!L260</f>
        <v>0</v>
      </c>
      <c r="K6" s="179">
        <f>'Vấn đề 2'!M260</f>
        <v>0</v>
      </c>
      <c r="L6" s="179">
        <f>'Vấn đề 2'!N260</f>
        <v>0</v>
      </c>
      <c r="M6" s="180">
        <f>'Vấn đề 2'!O260</f>
        <v>0</v>
      </c>
    </row>
    <row r="7" spans="1:13" s="177" customFormat="1" ht="21.75" customHeigh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</row>
    <row r="8" spans="1:13" ht="21.75" customHeight="1">
      <c r="A8" s="185" t="s">
        <v>61</v>
      </c>
      <c r="B8" s="53" t="s">
        <v>393</v>
      </c>
      <c r="C8" s="151">
        <f>'Vấn đề 2'!E108</f>
        <v>49050758703.247894</v>
      </c>
      <c r="D8" s="151">
        <f>'Vấn đề 2'!F108</f>
        <v>7071927684.954546</v>
      </c>
      <c r="E8" s="151">
        <f>'Vấn đề 2'!G108</f>
        <v>3882421837.2864</v>
      </c>
      <c r="F8" s="151">
        <f>'Vấn đề 2'!H108</f>
        <v>4059098009.789884</v>
      </c>
      <c r="G8" s="151">
        <f>'Vấn đề 2'!I108</f>
        <v>4243036813.100042</v>
      </c>
      <c r="H8" s="151">
        <f>'Vấn đề 2'!J108</f>
        <v>4434756428.716764</v>
      </c>
      <c r="I8" s="151">
        <f>'Vấn đề 2'!K108</f>
        <v>4634784576.104069</v>
      </c>
      <c r="J8" s="151">
        <f>'Vấn đề 2'!L108</f>
        <v>4843660165.449372</v>
      </c>
      <c r="K8" s="151">
        <f>'Vấn đề 2'!M108</f>
        <v>5061934943.483941</v>
      </c>
      <c r="L8" s="151">
        <f>'Vấn đề 2'!N108</f>
        <v>5290175137.976736</v>
      </c>
      <c r="M8" s="156">
        <f>'Vấn đề 2'!O108</f>
        <v>5528963106.386141</v>
      </c>
    </row>
    <row r="9" spans="1:13" ht="21.75" customHeight="1">
      <c r="A9" s="185"/>
      <c r="B9" s="53" t="s">
        <v>394</v>
      </c>
      <c r="C9" s="151">
        <f>'Vấn đề 2'!E109</f>
        <v>47805239412.0946</v>
      </c>
      <c r="D9" s="151">
        <f>'Vấn đề 2'!F109</f>
        <v>6980921779.5</v>
      </c>
      <c r="E9" s="151">
        <f>'Vấn đề 2'!G109</f>
        <v>3794995497.4463997</v>
      </c>
      <c r="F9" s="151">
        <f>'Vấn đề 2'!H109</f>
        <v>3958104691.576531</v>
      </c>
      <c r="G9" s="151">
        <f>'Vấn đề 2'!I109</f>
        <v>4130125200.5225554</v>
      </c>
      <c r="H9" s="151">
        <f>'Vấn đề 2'!J109</f>
        <v>4311423305.620969</v>
      </c>
      <c r="I9" s="151">
        <f>'Vấn đề 2'!K109</f>
        <v>4502386360.74122</v>
      </c>
      <c r="J9" s="151">
        <f>'Vấn đề 2'!L109</f>
        <v>4703423605.476859</v>
      </c>
      <c r="K9" s="151">
        <f>'Vấn đề 2'!M109</f>
        <v>4914967028.632749</v>
      </c>
      <c r="L9" s="151">
        <f>'Vấn đề 2'!N109</f>
        <v>5137472283.782839</v>
      </c>
      <c r="M9" s="156">
        <f>'Vấn đề 2'!O109</f>
        <v>5371419658.794475</v>
      </c>
    </row>
    <row r="10" spans="1:13" ht="21.75" customHeight="1">
      <c r="A10" s="185"/>
      <c r="B10" s="53" t="s">
        <v>395</v>
      </c>
      <c r="C10" s="151">
        <f>'Vấn đề 2'!E110</f>
        <v>1245519291.1532989</v>
      </c>
      <c r="D10" s="151">
        <f>'Vấn đề 2'!F110</f>
        <v>91005905.45454545</v>
      </c>
      <c r="E10" s="151">
        <f>'Vấn đề 2'!G110</f>
        <v>87426339.84000002</v>
      </c>
      <c r="F10" s="151">
        <f>'Vấn đề 2'!H110</f>
        <v>100993318.21335274</v>
      </c>
      <c r="G10" s="151">
        <f>'Vấn đề 2'!I110</f>
        <v>112911612.57748656</v>
      </c>
      <c r="H10" s="151">
        <f>'Vấn đề 2'!J110</f>
        <v>123333123.09579612</v>
      </c>
      <c r="I10" s="151">
        <f>'Vấn đề 2'!K110</f>
        <v>132398215.36284864</v>
      </c>
      <c r="J10" s="151">
        <f>'Vấn đề 2'!L110</f>
        <v>140236559.97251245</v>
      </c>
      <c r="K10" s="151">
        <f>'Vấn đề 2'!M110</f>
        <v>146967914.85119304</v>
      </c>
      <c r="L10" s="151">
        <f>'Vấn đề 2'!N110</f>
        <v>152702854.193897</v>
      </c>
      <c r="M10" s="156">
        <f>'Vấn đề 2'!O110</f>
        <v>157543447.59166682</v>
      </c>
    </row>
    <row r="11" spans="1:13" ht="21.75" customHeight="1">
      <c r="A11" s="185"/>
      <c r="B11" s="53" t="s">
        <v>396</v>
      </c>
      <c r="C11" s="151">
        <f>'Vấn đề 2'!E265</f>
        <v>52731851261.06424</v>
      </c>
      <c r="D11" s="151">
        <f>'Vấn đề 2'!F265</f>
        <v>4231718208.6545467</v>
      </c>
      <c r="E11" s="151">
        <f>'Vấn đề 2'!G265</f>
        <v>4434840682.669965</v>
      </c>
      <c r="F11" s="151">
        <f>'Vấn đề 2'!H265</f>
        <v>4647713035.438123</v>
      </c>
      <c r="G11" s="151">
        <f>'Vấn đề 2'!I265</f>
        <v>4870803261.139153</v>
      </c>
      <c r="H11" s="151">
        <f>'Vấn đề 2'!J265</f>
        <v>5104601817.673832</v>
      </c>
      <c r="I11" s="151">
        <f>'Vấn đề 2'!K265</f>
        <v>5349622704.922176</v>
      </c>
      <c r="J11" s="151">
        <f>'Vấn đề 2'!L265</f>
        <v>5606404594.758441</v>
      </c>
      <c r="K11" s="151">
        <f>'Vấn đề 2'!M265</f>
        <v>5875512015.306848</v>
      </c>
      <c r="L11" s="151">
        <f>'Vấn đề 2'!N265</f>
        <v>6157536592.041575</v>
      </c>
      <c r="M11" s="156">
        <f>'Vấn đề 2'!O265</f>
        <v>6453098348.459572</v>
      </c>
    </row>
    <row r="12" spans="1:13" s="177" customFormat="1" ht="21.75" customHeight="1">
      <c r="A12" s="198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8"/>
    </row>
    <row r="13" spans="1:13" ht="21.75" customHeight="1">
      <c r="A13" s="185" t="s">
        <v>62</v>
      </c>
      <c r="B13" s="53" t="s">
        <v>393</v>
      </c>
      <c r="C13" s="151">
        <f>'Vấn đề 2'!E181</f>
        <v>45361988650.78145</v>
      </c>
      <c r="D13" s="151">
        <f>'Vấn đề 2'!F181</f>
        <v>6397888783.090909</v>
      </c>
      <c r="E13" s="151">
        <f>'Vấn đề 2'!G181</f>
        <v>3595783667.5568</v>
      </c>
      <c r="F13" s="151">
        <f>'Vấn đề 2'!H181</f>
        <v>3761121226.8348293</v>
      </c>
      <c r="G13" s="151">
        <f>'Vấn đề 2'!I181</f>
        <v>3933481619.853083</v>
      </c>
      <c r="H13" s="151">
        <f>'Vấn đề 2'!J181</f>
        <v>4113329124.0469723</v>
      </c>
      <c r="I13" s="151">
        <f>'Vấn đề 2'!K181</f>
        <v>4301138801.107903</v>
      </c>
      <c r="J13" s="151">
        <f>'Vấn đề 2'!L181</f>
        <v>4497397910.830312</v>
      </c>
      <c r="K13" s="151">
        <f>'Vấn đề 2'!M181</f>
        <v>4702607328.119917</v>
      </c>
      <c r="L13" s="151">
        <f>'Vấn đề 2'!N181</f>
        <v>4917282967.773847</v>
      </c>
      <c r="M13" s="156">
        <f>'Vấn đề 2'!O181</f>
        <v>5141957221.566882</v>
      </c>
    </row>
    <row r="14" spans="1:13" ht="21.75" customHeight="1">
      <c r="A14" s="185"/>
      <c r="B14" s="53" t="s">
        <v>394</v>
      </c>
      <c r="C14" s="151">
        <f>'Vấn đề 2'!E182</f>
        <v>44427849182.41648</v>
      </c>
      <c r="D14" s="151">
        <f>'Vấn đề 2'!F182</f>
        <v>6329634354</v>
      </c>
      <c r="E14" s="151">
        <f>'Vấn đề 2'!G182</f>
        <v>3530213912.6768</v>
      </c>
      <c r="F14" s="151">
        <f>'Vấn đề 2'!H182</f>
        <v>3685376238.1748147</v>
      </c>
      <c r="G14" s="151">
        <f>'Vấn đề 2'!I182</f>
        <v>3848797910.4199686</v>
      </c>
      <c r="H14" s="151">
        <f>'Vấn đề 2'!J182</f>
        <v>4020829281.7251253</v>
      </c>
      <c r="I14" s="151">
        <f>'Vấn đề 2'!K182</f>
        <v>4201840139.5857654</v>
      </c>
      <c r="J14" s="151">
        <f>'Vấn đề 2'!L182</f>
        <v>4392220490.850927</v>
      </c>
      <c r="K14" s="151">
        <f>'Vấn đề 2'!M182</f>
        <v>4592381391.981522</v>
      </c>
      <c r="L14" s="151">
        <f>'Vấn đề 2'!N182</f>
        <v>4802755827.128424</v>
      </c>
      <c r="M14" s="156">
        <f>'Vấn đề 2'!O182</f>
        <v>5023799635.873132</v>
      </c>
    </row>
    <row r="15" spans="1:13" ht="21.75" customHeight="1">
      <c r="A15" s="185"/>
      <c r="B15" s="53" t="s">
        <v>395</v>
      </c>
      <c r="C15" s="151">
        <f>'Vấn đề 2'!E183</f>
        <v>934139468.364974</v>
      </c>
      <c r="D15" s="151">
        <f>'Vấn đề 2'!F183</f>
        <v>68254429.0909091</v>
      </c>
      <c r="E15" s="151">
        <f>'Vấn đề 2'!G183</f>
        <v>65569754.88000001</v>
      </c>
      <c r="F15" s="151">
        <f>'Vấn đề 2'!H183</f>
        <v>75744988.66001454</v>
      </c>
      <c r="G15" s="151">
        <f>'Vấn đề 2'!I183</f>
        <v>84683709.43311489</v>
      </c>
      <c r="H15" s="151">
        <f>'Vấn đề 2'!J183</f>
        <v>92499842.32184707</v>
      </c>
      <c r="I15" s="151">
        <f>'Vấn đề 2'!K183</f>
        <v>99298661.52213648</v>
      </c>
      <c r="J15" s="151">
        <f>'Vấn đề 2'!L183</f>
        <v>105177419.97938435</v>
      </c>
      <c r="K15" s="151">
        <f>'Vấn đề 2'!M183</f>
        <v>110225936.13839477</v>
      </c>
      <c r="L15" s="151">
        <f>'Vấn đề 2'!N183</f>
        <v>114527140.64542276</v>
      </c>
      <c r="M15" s="156">
        <f>'Vấn đề 2'!O183</f>
        <v>118157585.69375014</v>
      </c>
    </row>
    <row r="16" spans="1:13" ht="21.75" customHeight="1">
      <c r="A16" s="185"/>
      <c r="B16" s="53" t="s">
        <v>396</v>
      </c>
      <c r="C16" s="179">
        <f>'Vấn đề 2'!E290</f>
        <v>58590945845.62693</v>
      </c>
      <c r="D16" s="179">
        <f>'Vấn đề 2'!F290</f>
        <v>4701909120.727274</v>
      </c>
      <c r="E16" s="179">
        <f>'Vấn đề 2'!G290</f>
        <v>4927600758.522183</v>
      </c>
      <c r="F16" s="179">
        <f>'Vấn đề 2'!H290</f>
        <v>5164125594.931248</v>
      </c>
      <c r="G16" s="179">
        <f>'Vấn đề 2'!I290</f>
        <v>5412003623.487947</v>
      </c>
      <c r="H16" s="179">
        <f>'Vấn đề 2'!J290</f>
        <v>5671779797.415369</v>
      </c>
      <c r="I16" s="179">
        <f>'Vấn đề 2'!K290</f>
        <v>5944025227.691307</v>
      </c>
      <c r="J16" s="179">
        <f>'Vấn đề 2'!L290</f>
        <v>6229338438.62049</v>
      </c>
      <c r="K16" s="179">
        <f>'Vấn đề 2'!M290</f>
        <v>6528346683.674274</v>
      </c>
      <c r="L16" s="179">
        <f>'Vấn đề 2'!N290</f>
        <v>6841707324.49064</v>
      </c>
      <c r="M16" s="180">
        <f>'Vấn đề 2'!O290</f>
        <v>7170109276.066191</v>
      </c>
    </row>
    <row r="17" spans="1:13" s="177" customFormat="1" ht="21.75" customHeight="1">
      <c r="A17" s="198"/>
      <c r="B17" s="209"/>
      <c r="C17" s="210"/>
      <c r="D17" s="210"/>
      <c r="E17" s="213"/>
      <c r="F17" s="213"/>
      <c r="G17" s="213"/>
      <c r="H17" s="213"/>
      <c r="I17" s="213"/>
      <c r="J17" s="213"/>
      <c r="K17" s="213"/>
      <c r="L17" s="213"/>
      <c r="M17" s="217"/>
    </row>
    <row r="18" spans="1:13" ht="21.75" customHeight="1">
      <c r="A18" s="185" t="s">
        <v>63</v>
      </c>
      <c r="B18" s="53" t="s">
        <v>393</v>
      </c>
      <c r="C18" s="151">
        <f>'Vấn đề 2'!E254</f>
        <v>48244624642.38722</v>
      </c>
      <c r="D18" s="151">
        <f>'Vấn đề 2'!F254</f>
        <v>6818561115.590909</v>
      </c>
      <c r="E18" s="151">
        <f>'Vấn đề 2'!G254</f>
        <v>3820905041.6128</v>
      </c>
      <c r="F18" s="151">
        <f>'Vấn đề 2'!H254</f>
        <v>3997048426.8455167</v>
      </c>
      <c r="G18" s="151">
        <f>'Vấn đề 2'!I254</f>
        <v>4180733325.464284</v>
      </c>
      <c r="H18" s="151">
        <f>'Vấn đề 2'!J254</f>
        <v>4372448911.52751</v>
      </c>
      <c r="I18" s="151">
        <f>'Vấn đề 2'!K254</f>
        <v>4572696338.3875065</v>
      </c>
      <c r="J18" s="151">
        <f>'Vấn đề 2'!L254</f>
        <v>4781990209.899337</v>
      </c>
      <c r="K18" s="151">
        <f>'Vấn đề 2'!M254</f>
        <v>5000860057.544256</v>
      </c>
      <c r="L18" s="151">
        <f>'Vấn đề 2'!N254</f>
        <v>5229851828.210555</v>
      </c>
      <c r="M18" s="156">
        <f>'Vấn đề 2'!O254</f>
        <v>5469529387.304551</v>
      </c>
    </row>
    <row r="19" spans="1:13" ht="21.75" customHeight="1">
      <c r="A19" s="185"/>
      <c r="B19" s="53" t="s">
        <v>394</v>
      </c>
      <c r="C19" s="151">
        <f>'Vấn đề 2'!E255</f>
        <v>47310485174.022255</v>
      </c>
      <c r="D19" s="151">
        <f>'Vấn đề 2'!F255</f>
        <v>6750306686.5</v>
      </c>
      <c r="E19" s="151">
        <f>'Vấn đề 2'!G255</f>
        <v>3755335286.7328</v>
      </c>
      <c r="F19" s="151">
        <f>'Vấn đề 2'!H255</f>
        <v>3921303438.1855025</v>
      </c>
      <c r="G19" s="151">
        <f>'Vấn đề 2'!I255</f>
        <v>4096049616.031169</v>
      </c>
      <c r="H19" s="151">
        <f>'Vấn đề 2'!J255</f>
        <v>4279949069.2056637</v>
      </c>
      <c r="I19" s="151">
        <f>'Vấn đề 2'!K255</f>
        <v>4473397676.865371</v>
      </c>
      <c r="J19" s="151">
        <f>'Vấn đề 2'!L255</f>
        <v>4676812789.919952</v>
      </c>
      <c r="K19" s="151">
        <f>'Vấn đề 2'!M255</f>
        <v>4890634121.405861</v>
      </c>
      <c r="L19" s="151">
        <f>'Vấn đề 2'!N255</f>
        <v>5115324687.565131</v>
      </c>
      <c r="M19" s="156">
        <f>'Vấn đề 2'!O255</f>
        <v>5351371801.610801</v>
      </c>
    </row>
    <row r="20" spans="1:13" ht="21.75" customHeight="1">
      <c r="A20" s="185"/>
      <c r="B20" s="53" t="s">
        <v>395</v>
      </c>
      <c r="C20" s="151">
        <f>'Vấn đề 2'!E256</f>
        <v>934139468.364974</v>
      </c>
      <c r="D20" s="151">
        <f>'Vấn đề 2'!F256</f>
        <v>68254429.0909091</v>
      </c>
      <c r="E20" s="151">
        <f>'Vấn đề 2'!G256</f>
        <v>65569754.88000001</v>
      </c>
      <c r="F20" s="151">
        <f>'Vấn đề 2'!H256</f>
        <v>75744988.66001454</v>
      </c>
      <c r="G20" s="151">
        <f>'Vấn đề 2'!I256</f>
        <v>84683709.43311489</v>
      </c>
      <c r="H20" s="151">
        <f>'Vấn đề 2'!J256</f>
        <v>92499842.32184707</v>
      </c>
      <c r="I20" s="151">
        <f>'Vấn đề 2'!K256</f>
        <v>99298661.52213648</v>
      </c>
      <c r="J20" s="151">
        <f>'Vấn đề 2'!L256</f>
        <v>105177419.97938435</v>
      </c>
      <c r="K20" s="151">
        <f>'Vấn đề 2'!M256</f>
        <v>110225936.13839477</v>
      </c>
      <c r="L20" s="151">
        <f>'Vấn đề 2'!N256</f>
        <v>114527140.64542276</v>
      </c>
      <c r="M20" s="156">
        <f>'Vấn đề 2'!O256</f>
        <v>118157585.69375014</v>
      </c>
    </row>
    <row r="21" spans="1:13" ht="21.75" customHeight="1">
      <c r="A21" s="185"/>
      <c r="B21" s="53" t="s">
        <v>396</v>
      </c>
      <c r="C21" s="179">
        <f>'Vấn đề 2'!E297</f>
        <v>61520493137.90828</v>
      </c>
      <c r="D21" s="179">
        <f>'Vấn đề 2'!F297</f>
        <v>4937004576.763638</v>
      </c>
      <c r="E21" s="179">
        <f>'Vấn đề 2'!G297</f>
        <v>5173980796.448293</v>
      </c>
      <c r="F21" s="179">
        <f>'Vấn đề 2'!H297</f>
        <v>5422331874.677811</v>
      </c>
      <c r="G21" s="179">
        <f>'Vấn đề 2'!I297</f>
        <v>5682603804.662345</v>
      </c>
      <c r="H21" s="179">
        <f>'Vấn đề 2'!J297</f>
        <v>5955368787.286138</v>
      </c>
      <c r="I21" s="179">
        <f>'Vấn đề 2'!K297</f>
        <v>6241226489.075872</v>
      </c>
      <c r="J21" s="179">
        <f>'Vấn đề 2'!L297</f>
        <v>6540805360.551515</v>
      </c>
      <c r="K21" s="179">
        <f>'Vấn đề 2'!M297</f>
        <v>6854764017.857988</v>
      </c>
      <c r="L21" s="179">
        <f>'Vấn đề 2'!N297</f>
        <v>7183792690.715172</v>
      </c>
      <c r="M21" s="180">
        <f>'Vấn đề 2'!O297</f>
        <v>7528614739.8695</v>
      </c>
    </row>
    <row r="22" spans="1:13" ht="21.75" customHeight="1">
      <c r="A22" s="195"/>
      <c r="B22" s="196"/>
      <c r="C22" s="535"/>
      <c r="D22" s="196"/>
      <c r="E22" s="196"/>
      <c r="F22" s="196"/>
      <c r="G22" s="196"/>
      <c r="H22" s="196"/>
      <c r="I22" s="196"/>
      <c r="J22" s="196"/>
      <c r="K22" s="196"/>
      <c r="L22" s="196"/>
      <c r="M22" s="197"/>
    </row>
    <row r="23" spans="1:13" ht="21.75" customHeight="1">
      <c r="A23" s="185"/>
      <c r="B23" s="539" t="s">
        <v>397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3" ht="21.75" customHeight="1">
      <c r="A24" s="651" t="s">
        <v>470</v>
      </c>
      <c r="B24" s="53" t="s">
        <v>398</v>
      </c>
      <c r="C24" s="181">
        <f>'Vấn đề 2'!E38</f>
        <v>1896005759.6384602</v>
      </c>
      <c r="D24" s="151">
        <f>'Vấn đề 2'!F38</f>
        <v>152154000</v>
      </c>
      <c r="E24" s="151">
        <f>'Vấn đề 2'!G38</f>
        <v>159457392</v>
      </c>
      <c r="F24" s="151">
        <f>'Vấn đề 2'!H38</f>
        <v>167111346.816</v>
      </c>
      <c r="G24" s="151">
        <f>'Vấn đề 2'!I38</f>
        <v>175132691.46316803</v>
      </c>
      <c r="H24" s="151">
        <f>'Vấn đề 2'!J38</f>
        <v>183539060.65340006</v>
      </c>
      <c r="I24" s="151">
        <f>'Vấn đề 2'!K38</f>
        <v>192348935.56476328</v>
      </c>
      <c r="J24" s="151">
        <f>'Vấn đề 2'!L38</f>
        <v>201581684.4718719</v>
      </c>
      <c r="K24" s="151">
        <f>'Vấn đề 2'!M38</f>
        <v>211257605.32652178</v>
      </c>
      <c r="L24" s="151">
        <f>'Vấn đề 2'!N38</f>
        <v>221397970.38219482</v>
      </c>
      <c r="M24" s="156">
        <f>'Vấn đề 2'!O38</f>
        <v>232025072.96054018</v>
      </c>
    </row>
    <row r="25" spans="1:13" ht="21.75" customHeight="1">
      <c r="A25" s="651" t="s">
        <v>471</v>
      </c>
      <c r="B25" s="53" t="s">
        <v>399</v>
      </c>
      <c r="C25" s="181">
        <f>'Vấn đề 2'!E111</f>
        <v>21525869770.250736</v>
      </c>
      <c r="D25" s="151">
        <f>'Vấn đề 2'!F111</f>
        <v>2959891690.5</v>
      </c>
      <c r="E25" s="151">
        <f>'Vấn đề 2'!G111</f>
        <v>1697668639.644</v>
      </c>
      <c r="F25" s="151">
        <f>'Vấn đề 2'!H111</f>
        <v>1779156734.346912</v>
      </c>
      <c r="G25" s="151">
        <f>'Vấn đề 2'!I111</f>
        <v>1864556257.595564</v>
      </c>
      <c r="H25" s="151">
        <f>'Vấn đề 2'!J111</f>
        <v>1954054957.960151</v>
      </c>
      <c r="I25" s="151">
        <f>'Vấn đề 2'!K111</f>
        <v>2047849595.9422383</v>
      </c>
      <c r="J25" s="151">
        <f>'Vấn đề 2'!L111</f>
        <v>2146146376.5474658</v>
      </c>
      <c r="K25" s="151">
        <f>'Vấn đề 2'!M111</f>
        <v>2249161402.621744</v>
      </c>
      <c r="L25" s="151">
        <f>'Vấn đề 2'!N111</f>
        <v>2357121149.947588</v>
      </c>
      <c r="M25" s="156">
        <f>'Vấn đề 2'!O111</f>
        <v>2470262965.1450725</v>
      </c>
    </row>
    <row r="26" spans="1:13" ht="21.75" customHeight="1">
      <c r="A26" s="651" t="s">
        <v>472</v>
      </c>
      <c r="B26" s="53" t="s">
        <v>400</v>
      </c>
      <c r="C26" s="181">
        <f>'Vấn đề 2'!E184</f>
        <v>23762123042.54697</v>
      </c>
      <c r="D26" s="151">
        <f>'Vấn đề 2'!F184</f>
        <v>3161907956</v>
      </c>
      <c r="E26" s="151">
        <f>'Vấn đề 2'!G184</f>
        <v>1883678789.888</v>
      </c>
      <c r="F26" s="151">
        <f>'Vấn đề 2'!H184</f>
        <v>1974095371.802624</v>
      </c>
      <c r="G26" s="151">
        <f>'Vấn đề 2'!I184</f>
        <v>2068851949.64915</v>
      </c>
      <c r="H26" s="151">
        <f>'Vấn đề 2'!J184</f>
        <v>2168156843.2323093</v>
      </c>
      <c r="I26" s="151">
        <f>'Vấn đề 2'!K184</f>
        <v>2272228371.7074604</v>
      </c>
      <c r="J26" s="151">
        <f>'Vấn đề 2'!L184</f>
        <v>2381295333.5494184</v>
      </c>
      <c r="K26" s="151">
        <f>'Vấn đề 2'!M184</f>
        <v>2495597509.5597906</v>
      </c>
      <c r="L26" s="151">
        <f>'Vấn đề 2'!N184</f>
        <v>2615386190.0186605</v>
      </c>
      <c r="M26" s="156">
        <f>'Vấn đề 2'!O184</f>
        <v>2740924727.1395564</v>
      </c>
    </row>
    <row r="27" spans="1:13" ht="21.75" customHeight="1" thickBot="1">
      <c r="A27" s="652" t="s">
        <v>473</v>
      </c>
      <c r="B27" s="540" t="s">
        <v>401</v>
      </c>
      <c r="C27" s="191">
        <f>'Vấn đề 2'!E257</f>
        <v>25364739423.23079</v>
      </c>
      <c r="D27" s="192">
        <f>'Vấn đề 2'!F257</f>
        <v>3383733023.5</v>
      </c>
      <c r="E27" s="192">
        <f>'Vấn đề 2'!G257</f>
        <v>2009938020.628</v>
      </c>
      <c r="F27" s="192">
        <f>'Vấn đề 2'!H257</f>
        <v>2106415045.618144</v>
      </c>
      <c r="G27" s="192">
        <f>'Vấn đề 2'!I257</f>
        <v>2207522967.8078146</v>
      </c>
      <c r="H27" s="192">
        <f>'Vấn đề 2'!J257</f>
        <v>2313484070.26259</v>
      </c>
      <c r="I27" s="192">
        <f>'Vấn đề 2'!K257</f>
        <v>2424531305.635195</v>
      </c>
      <c r="J27" s="192">
        <f>'Vấn đề 2'!L257</f>
        <v>2540908808.305684</v>
      </c>
      <c r="K27" s="192">
        <f>'Vấn đề 2'!M257</f>
        <v>2662872431.104357</v>
      </c>
      <c r="L27" s="192">
        <f>'Vấn đề 2'!N257</f>
        <v>2790690307.797366</v>
      </c>
      <c r="M27" s="193">
        <f>'Vấn đề 2'!O257</f>
        <v>2924643442.57164</v>
      </c>
    </row>
    <row r="28" spans="1:13" ht="21.75" customHeight="1" thickBot="1" thickTop="1">
      <c r="A28" s="214"/>
      <c r="B28" s="211"/>
      <c r="C28" s="212"/>
      <c r="D28" s="212"/>
      <c r="E28" s="215"/>
      <c r="F28" s="215"/>
      <c r="G28" s="215"/>
      <c r="H28" s="215"/>
      <c r="I28" s="215"/>
      <c r="J28" s="215"/>
      <c r="K28" s="215"/>
      <c r="L28" s="215"/>
      <c r="M28" s="216"/>
    </row>
    <row r="29" spans="1:13" ht="21.75" customHeight="1">
      <c r="A29" s="185"/>
      <c r="B29" s="541" t="s">
        <v>402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50"/>
    </row>
    <row r="30" spans="1:13" ht="21.75" customHeight="1">
      <c r="A30" s="185" t="s">
        <v>91</v>
      </c>
      <c r="B30" s="53" t="s">
        <v>403</v>
      </c>
      <c r="C30" s="182">
        <f>'Vấn đề 3'!E4</f>
        <v>0</v>
      </c>
      <c r="D30" s="179">
        <f>'Vấn đề 3'!F4</f>
        <v>0</v>
      </c>
      <c r="E30" s="179">
        <f>'Vấn đề 3'!G4</f>
        <v>0</v>
      </c>
      <c r="F30" s="179">
        <f>'Vấn đề 3'!H4</f>
        <v>0</v>
      </c>
      <c r="G30" s="179">
        <f>'Vấn đề 3'!I4</f>
        <v>0</v>
      </c>
      <c r="H30" s="179">
        <f>'Vấn đề 3'!J4</f>
        <v>0</v>
      </c>
      <c r="I30" s="179">
        <f>'Vấn đề 3'!K4</f>
        <v>0</v>
      </c>
      <c r="J30" s="179">
        <f>'Vấn đề 3'!L4</f>
        <v>0</v>
      </c>
      <c r="K30" s="179">
        <f>'Vấn đề 3'!M4</f>
        <v>0</v>
      </c>
      <c r="L30" s="179">
        <f>'Vấn đề 3'!N4</f>
        <v>0</v>
      </c>
      <c r="M30" s="180">
        <f>'Vấn đề 3'!O4</f>
        <v>0</v>
      </c>
    </row>
    <row r="31" spans="1:13" ht="21.75" customHeight="1">
      <c r="A31" s="185" t="s">
        <v>92</v>
      </c>
      <c r="B31" s="53" t="s">
        <v>404</v>
      </c>
      <c r="C31" s="181">
        <f>'Vấn đề 3'!E9</f>
        <v>18811907613.628044</v>
      </c>
      <c r="D31" s="151">
        <f>'Vấn đề 3'!F9</f>
        <v>1509651000</v>
      </c>
      <c r="E31" s="151">
        <f>'Vấn đề 3'!G9</f>
        <v>1582114248</v>
      </c>
      <c r="F31" s="151">
        <f>'Vấn đề 3'!H9</f>
        <v>1658055731.904</v>
      </c>
      <c r="G31" s="151">
        <f>'Vấn đề 3'!I9</f>
        <v>1737642407.035392</v>
      </c>
      <c r="H31" s="151">
        <f>'Vấn đề 3'!J9</f>
        <v>1821049242.573091</v>
      </c>
      <c r="I31" s="151">
        <f>'Vấn đề 3'!K9</f>
        <v>1908459606.2165995</v>
      </c>
      <c r="J31" s="151">
        <f>'Vấn đề 3'!L9</f>
        <v>2000065667.3149962</v>
      </c>
      <c r="K31" s="151">
        <f>'Vấn đề 3'!M9</f>
        <v>2096068819.346116</v>
      </c>
      <c r="L31" s="151">
        <f>'Vấn đề 3'!N9</f>
        <v>2196680122.67473</v>
      </c>
      <c r="M31" s="156">
        <f>'Vấn đề 3'!O9</f>
        <v>2302120768.563117</v>
      </c>
    </row>
    <row r="32" spans="1:13" ht="21.75" customHeight="1">
      <c r="A32" s="185" t="s">
        <v>93</v>
      </c>
      <c r="B32" s="53" t="s">
        <v>405</v>
      </c>
      <c r="C32" s="181">
        <f>'Vấn đề 3'!E33</f>
        <v>2732833909.2105355</v>
      </c>
      <c r="D32" s="151">
        <f>'Vấn đề 3'!F33</f>
        <v>219309255</v>
      </c>
      <c r="E32" s="151">
        <f>'Vấn đề 3'!G33</f>
        <v>229836099.24</v>
      </c>
      <c r="F32" s="151">
        <f>'Vấn đề 3'!H33</f>
        <v>240868232.00352004</v>
      </c>
      <c r="G32" s="151">
        <f>'Vấn đề 3'!I33</f>
        <v>252429907.13968903</v>
      </c>
      <c r="H32" s="151">
        <f>'Vấn đề 3'!J33</f>
        <v>264546542.6823941</v>
      </c>
      <c r="I32" s="151">
        <f>'Vấn đề 3'!K33</f>
        <v>277244776.731149</v>
      </c>
      <c r="J32" s="151">
        <f>'Vấn đề 3'!L33</f>
        <v>290552526.0142442</v>
      </c>
      <c r="K32" s="151">
        <f>'Vấn đề 3'!M33</f>
        <v>304499047.2629279</v>
      </c>
      <c r="L32" s="151">
        <f>'Vấn đề 3'!N33</f>
        <v>319115001.53154844</v>
      </c>
      <c r="M32" s="156">
        <f>'Vấn đề 3'!O33</f>
        <v>334432521.6050628</v>
      </c>
    </row>
    <row r="33" spans="1:13" ht="21.75" customHeight="1" thickBot="1">
      <c r="A33" s="190" t="s">
        <v>94</v>
      </c>
      <c r="B33" s="540" t="s">
        <v>406</v>
      </c>
      <c r="C33" s="191">
        <f>'Vấn đề 3'!E54</f>
        <v>1881190761.3628042</v>
      </c>
      <c r="D33" s="192">
        <f>'Vấn đề 3'!F54</f>
        <v>150965100</v>
      </c>
      <c r="E33" s="192">
        <f>'Vấn đề 3'!G54</f>
        <v>158211424.8</v>
      </c>
      <c r="F33" s="192">
        <f>'Vấn đề 3'!H54</f>
        <v>165805573.1904</v>
      </c>
      <c r="G33" s="192">
        <f>'Vấn đề 3'!I54</f>
        <v>173764240.70353922</v>
      </c>
      <c r="H33" s="192">
        <f>'Vấn đề 3'!J54</f>
        <v>182104924.2573091</v>
      </c>
      <c r="I33" s="192">
        <f>'Vấn đề 3'!K54</f>
        <v>190845960.62165996</v>
      </c>
      <c r="J33" s="192">
        <f>'Vấn đề 3'!L54</f>
        <v>200006566.73149964</v>
      </c>
      <c r="K33" s="192">
        <f>'Vấn đề 3'!M54</f>
        <v>209606881.93461165</v>
      </c>
      <c r="L33" s="192">
        <f>'Vấn đề 3'!N54</f>
        <v>219668012.267473</v>
      </c>
      <c r="M33" s="193">
        <f>'Vấn đề 3'!O54</f>
        <v>230212076.85631174</v>
      </c>
    </row>
    <row r="34" spans="1:13" ht="21.75" customHeight="1" thickTop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94"/>
    </row>
    <row r="35" spans="1:13" ht="21.75" customHeight="1">
      <c r="A35" s="185"/>
      <c r="B35" s="541" t="s">
        <v>407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21.75" customHeight="1">
      <c r="A36" s="185" t="s">
        <v>97</v>
      </c>
      <c r="B36" s="53" t="s">
        <v>408</v>
      </c>
      <c r="C36" s="179">
        <f>'Vấn đề 3'!E10</f>
        <v>0</v>
      </c>
      <c r="D36" s="179">
        <f>'Vấn đề 3'!F10</f>
        <v>0</v>
      </c>
      <c r="E36" s="179">
        <f>'Vấn đề 3'!G10</f>
        <v>0</v>
      </c>
      <c r="F36" s="179">
        <f>'Vấn đề 3'!H10</f>
        <v>0</v>
      </c>
      <c r="G36" s="179">
        <f>'Vấn đề 3'!I10</f>
        <v>0</v>
      </c>
      <c r="H36" s="179">
        <f>'Vấn đề 3'!J10</f>
        <v>0</v>
      </c>
      <c r="I36" s="179">
        <f>'Vấn đề 3'!K10</f>
        <v>0</v>
      </c>
      <c r="J36" s="179">
        <f>'Vấn đề 3'!L10</f>
        <v>0</v>
      </c>
      <c r="K36" s="179">
        <f>'Vấn đề 3'!M10</f>
        <v>0</v>
      </c>
      <c r="L36" s="179">
        <f>'Vấn đề 3'!N10</f>
        <v>0</v>
      </c>
      <c r="M36" s="180">
        <f>'Vấn đề 3'!O10</f>
        <v>0</v>
      </c>
    </row>
    <row r="37" spans="1:13" ht="21.75" customHeight="1">
      <c r="A37" s="185" t="s">
        <v>98</v>
      </c>
      <c r="B37" s="53" t="s">
        <v>409</v>
      </c>
      <c r="C37" s="151">
        <f>'Vấn đề 4'!E11</f>
        <v>40806479.10107959</v>
      </c>
      <c r="D37" s="151">
        <f>'Vấn đề 4'!F11</f>
        <v>3274710</v>
      </c>
      <c r="E37" s="151">
        <f>'Vấn đề 4'!G11</f>
        <v>3431896.08</v>
      </c>
      <c r="F37" s="151">
        <f>'Vấn đề 4'!H11</f>
        <v>3596627.0918400004</v>
      </c>
      <c r="G37" s="151">
        <f>'Vấn đề 4'!I11</f>
        <v>3769265.1922483207</v>
      </c>
      <c r="H37" s="151">
        <f>'Vấn đề 4'!J11</f>
        <v>3950189.9214762403</v>
      </c>
      <c r="I37" s="151">
        <f>'Vấn đề 4'!K11</f>
        <v>4139799.0377071</v>
      </c>
      <c r="J37" s="151">
        <f>'Vấn đề 4'!L11</f>
        <v>4338509.391517041</v>
      </c>
      <c r="K37" s="151">
        <f>'Vấn đề 4'!M11</f>
        <v>4546757.84230986</v>
      </c>
      <c r="L37" s="151">
        <f>'Vấn đề 4'!N11</f>
        <v>4765002.218740733</v>
      </c>
      <c r="M37" s="156">
        <f>'Vấn đề 4'!O11</f>
        <v>4993722.325240289</v>
      </c>
    </row>
    <row r="38" spans="1:13" ht="21.75" customHeight="1" thickBot="1">
      <c r="A38" s="166" t="s">
        <v>99</v>
      </c>
      <c r="B38" s="542" t="s">
        <v>410</v>
      </c>
      <c r="C38" s="183">
        <f>'Vấn đề 4'!E17</f>
        <v>23341192.40061248</v>
      </c>
      <c r="D38" s="183">
        <f>'Vấn đề 4'!F17</f>
        <v>1873125</v>
      </c>
      <c r="E38" s="183">
        <f>'Vấn đề 4'!G17</f>
        <v>1963035</v>
      </c>
      <c r="F38" s="183">
        <f>'Vấn đề 4'!H17</f>
        <v>2057260.6800000002</v>
      </c>
      <c r="G38" s="183">
        <f>'Vấn đề 4'!I17</f>
        <v>2156009.1926400005</v>
      </c>
      <c r="H38" s="183">
        <f>'Vấn đề 4'!J17</f>
        <v>2259497.6338867205</v>
      </c>
      <c r="I38" s="183">
        <f>'Vấn đề 4'!K17</f>
        <v>2367953.5203132834</v>
      </c>
      <c r="J38" s="183">
        <f>'Vấn đề 4'!L17</f>
        <v>2481615.289288321</v>
      </c>
      <c r="K38" s="183">
        <f>'Vấn đề 4'!M17</f>
        <v>2600732.8231741604</v>
      </c>
      <c r="L38" s="183">
        <f>'Vấn đề 4'!N17</f>
        <v>2725567.9986865204</v>
      </c>
      <c r="M38" s="184">
        <f>'Vấn đề 4'!O17</f>
        <v>2856395.2626234735</v>
      </c>
    </row>
    <row r="39" spans="1:13" ht="21.75" customHeight="1">
      <c r="A39" s="185"/>
      <c r="B39" s="53" t="s">
        <v>411</v>
      </c>
      <c r="C39" s="149"/>
      <c r="D39" s="149">
        <v>1</v>
      </c>
      <c r="E39" s="204">
        <f>D39/(1+$D$40)</f>
        <v>0.9541984732824427</v>
      </c>
      <c r="F39" s="204">
        <f aca="true" t="shared" si="0" ref="F39:M39">E39/(1+$D$40)</f>
        <v>0.9104947264145445</v>
      </c>
      <c r="G39" s="204">
        <f t="shared" si="0"/>
        <v>0.8687926778764737</v>
      </c>
      <c r="H39" s="204">
        <f t="shared" si="0"/>
        <v>0.8290006468286962</v>
      </c>
      <c r="I39" s="204">
        <f t="shared" si="0"/>
        <v>0.7910311515540994</v>
      </c>
      <c r="J39" s="204">
        <f t="shared" si="0"/>
        <v>0.7548007171317742</v>
      </c>
      <c r="K39" s="204">
        <f t="shared" si="0"/>
        <v>0.7202296919196318</v>
      </c>
      <c r="L39" s="204">
        <f t="shared" si="0"/>
        <v>0.6872420724423968</v>
      </c>
      <c r="M39" s="205">
        <f t="shared" si="0"/>
        <v>0.6557653362999969</v>
      </c>
    </row>
    <row r="40" spans="1:13" ht="21.75" customHeight="1" thickBot="1">
      <c r="A40" s="166"/>
      <c r="B40" s="542" t="s">
        <v>412</v>
      </c>
      <c r="C40" s="157"/>
      <c r="D40" s="203">
        <v>0.048</v>
      </c>
      <c r="E40" s="157"/>
      <c r="F40" s="157"/>
      <c r="G40" s="157"/>
      <c r="H40" s="157"/>
      <c r="I40" s="157"/>
      <c r="J40" s="157"/>
      <c r="K40" s="157"/>
      <c r="L40" s="157"/>
      <c r="M40" s="202"/>
    </row>
  </sheetData>
  <sheetProtection/>
  <printOptions/>
  <pageMargins left="0.59" right="0.59" top="0.79" bottom="0.79" header="0.24" footer="0.17"/>
  <pageSetup horizontalDpi="300" verticalDpi="300" orientation="landscape" paperSize="9" r:id="rId1"/>
  <headerFooter alignWithMargins="0">
    <oddHeader>&amp;C&amp;"Times New Roman,Bold"&amp;14&amp;K000000PHỤ LỤC 1: TÓM TẮT PHÂN TÍCH CHI PHÍ - LỢI ÍCH ĐỊNH LƯỢNG</oddHeader>
    <oddFooter>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="118" zoomScaleNormal="118" zoomScalePageLayoutView="118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60" sqref="E60"/>
    </sheetView>
  </sheetViews>
  <sheetFormatPr defaultColWidth="8.8515625" defaultRowHeight="15"/>
  <cols>
    <col min="1" max="1" width="6.421875" style="252" bestFit="1" customWidth="1"/>
    <col min="2" max="2" width="6.421875" style="291" customWidth="1"/>
    <col min="3" max="3" width="62.00390625" style="251" customWidth="1"/>
    <col min="4" max="4" width="9.421875" style="252" bestFit="1" customWidth="1"/>
    <col min="5" max="5" width="12.00390625" style="251" bestFit="1" customWidth="1"/>
    <col min="6" max="6" width="37.421875" style="292" customWidth="1"/>
    <col min="7" max="7" width="25.140625" style="1" customWidth="1"/>
    <col min="8" max="8" width="8.8515625" style="1" customWidth="1"/>
    <col min="9" max="9" width="20.00390625" style="1" customWidth="1"/>
    <col min="10" max="16384" width="8.8515625" style="1" customWidth="1"/>
  </cols>
  <sheetData>
    <row r="1" spans="1:10" s="50" customFormat="1" ht="25.5" customHeight="1">
      <c r="A1" s="253" t="s">
        <v>141</v>
      </c>
      <c r="B1" s="687" t="s">
        <v>142</v>
      </c>
      <c r="C1" s="688"/>
      <c r="D1" s="254" t="s">
        <v>143</v>
      </c>
      <c r="E1" s="255" t="s">
        <v>144</v>
      </c>
      <c r="F1" s="255" t="s">
        <v>145</v>
      </c>
      <c r="G1" s="267" t="s">
        <v>186</v>
      </c>
      <c r="H1" s="71" t="s">
        <v>85</v>
      </c>
      <c r="I1" s="72" t="s">
        <v>84</v>
      </c>
      <c r="J1" s="73" t="s">
        <v>83</v>
      </c>
    </row>
    <row r="2" spans="1:7" s="50" customFormat="1" ht="25.5" customHeight="1">
      <c r="A2" s="268"/>
      <c r="B2" s="257" t="s">
        <v>188</v>
      </c>
      <c r="C2" s="257" t="s">
        <v>142</v>
      </c>
      <c r="D2" s="257"/>
      <c r="E2" s="269"/>
      <c r="F2" s="270"/>
      <c r="G2" s="219"/>
    </row>
    <row r="3" spans="1:7" s="50" customFormat="1" ht="21" customHeight="1">
      <c r="A3" s="268"/>
      <c r="B3" s="684" t="s">
        <v>189</v>
      </c>
      <c r="C3" s="684"/>
      <c r="D3" s="257"/>
      <c r="E3" s="269"/>
      <c r="F3" s="270"/>
      <c r="G3" s="219"/>
    </row>
    <row r="4" spans="1:9" ht="21" customHeight="1">
      <c r="A4" s="223"/>
      <c r="B4" s="683" t="s">
        <v>190</v>
      </c>
      <c r="C4" s="683"/>
      <c r="D4" s="263"/>
      <c r="E4" s="271"/>
      <c r="F4" s="272"/>
      <c r="G4" s="44"/>
      <c r="I4" s="49"/>
    </row>
    <row r="5" spans="1:7" ht="38.25">
      <c r="A5" s="223">
        <v>1</v>
      </c>
      <c r="B5" s="273"/>
      <c r="C5" s="235" t="s">
        <v>191</v>
      </c>
      <c r="D5" s="274" t="s">
        <v>192</v>
      </c>
      <c r="E5" s="275">
        <v>10</v>
      </c>
      <c r="F5" s="276" t="s">
        <v>193</v>
      </c>
      <c r="G5" s="44"/>
    </row>
    <row r="6" spans="1:7" ht="30" customHeight="1">
      <c r="A6" s="223">
        <v>2</v>
      </c>
      <c r="B6" s="273"/>
      <c r="C6" s="224" t="s">
        <v>194</v>
      </c>
      <c r="D6" s="258" t="s">
        <v>64</v>
      </c>
      <c r="E6" s="231">
        <f>4787225/4</f>
        <v>1196806.25</v>
      </c>
      <c r="F6" s="224" t="s">
        <v>187</v>
      </c>
      <c r="G6" s="56"/>
    </row>
    <row r="7" spans="1:7" ht="21" customHeight="1">
      <c r="A7" s="223"/>
      <c r="B7" s="683" t="s">
        <v>195</v>
      </c>
      <c r="C7" s="683"/>
      <c r="D7" s="225"/>
      <c r="E7" s="225"/>
      <c r="F7" s="276" t="s">
        <v>193</v>
      </c>
      <c r="G7" s="44"/>
    </row>
    <row r="8" spans="1:7" ht="21" customHeight="1">
      <c r="A8" s="223">
        <v>3</v>
      </c>
      <c r="B8" s="277"/>
      <c r="C8" s="235" t="s">
        <v>196</v>
      </c>
      <c r="D8" s="274" t="s">
        <v>67</v>
      </c>
      <c r="E8" s="231">
        <v>20000000</v>
      </c>
      <c r="F8" s="276" t="s">
        <v>193</v>
      </c>
      <c r="G8" s="44"/>
    </row>
    <row r="9" spans="1:7" ht="21" customHeight="1">
      <c r="A9" s="223">
        <v>4</v>
      </c>
      <c r="B9" s="273"/>
      <c r="C9" s="224" t="s">
        <v>197</v>
      </c>
      <c r="D9" s="258" t="s">
        <v>198</v>
      </c>
      <c r="E9" s="231">
        <v>3</v>
      </c>
      <c r="F9" s="276" t="s">
        <v>193</v>
      </c>
      <c r="G9" s="44"/>
    </row>
    <row r="10" spans="1:7" ht="21" customHeight="1">
      <c r="A10" s="223">
        <v>5</v>
      </c>
      <c r="B10" s="273"/>
      <c r="C10" s="224" t="s">
        <v>199</v>
      </c>
      <c r="D10" s="258" t="s">
        <v>64</v>
      </c>
      <c r="E10" s="231">
        <v>10000000</v>
      </c>
      <c r="F10" s="276" t="s">
        <v>193</v>
      </c>
      <c r="G10" s="44"/>
    </row>
    <row r="11" spans="1:7" ht="21" customHeight="1">
      <c r="A11" s="223">
        <v>6</v>
      </c>
      <c r="B11" s="273"/>
      <c r="C11" s="224" t="s">
        <v>200</v>
      </c>
      <c r="D11" s="258" t="s">
        <v>198</v>
      </c>
      <c r="E11" s="231">
        <v>1</v>
      </c>
      <c r="F11" s="276" t="s">
        <v>193</v>
      </c>
      <c r="G11" s="44"/>
    </row>
    <row r="12" spans="1:7" ht="21" customHeight="1">
      <c r="A12" s="223">
        <v>7</v>
      </c>
      <c r="B12" s="273"/>
      <c r="C12" s="224" t="s">
        <v>201</v>
      </c>
      <c r="D12" s="258" t="s">
        <v>64</v>
      </c>
      <c r="E12" s="231">
        <v>40000000</v>
      </c>
      <c r="F12" s="276" t="s">
        <v>193</v>
      </c>
      <c r="G12" s="44"/>
    </row>
    <row r="13" spans="1:7" ht="21" customHeight="1">
      <c r="A13" s="223">
        <v>8</v>
      </c>
      <c r="B13" s="273"/>
      <c r="C13" s="224" t="s">
        <v>202</v>
      </c>
      <c r="D13" s="258" t="s">
        <v>64</v>
      </c>
      <c r="E13" s="231">
        <f>E8+E9*E10+E11*E12</f>
        <v>90000000</v>
      </c>
      <c r="F13" s="276"/>
      <c r="G13" s="44"/>
    </row>
    <row r="14" spans="1:7" ht="25.5" customHeight="1">
      <c r="A14" s="223"/>
      <c r="B14" s="683" t="s">
        <v>203</v>
      </c>
      <c r="C14" s="683"/>
      <c r="D14" s="225"/>
      <c r="E14" s="225"/>
      <c r="F14" s="225"/>
      <c r="G14" s="44"/>
    </row>
    <row r="15" spans="1:7" ht="21.75" customHeight="1">
      <c r="A15" s="223">
        <v>9</v>
      </c>
      <c r="B15" s="277"/>
      <c r="C15" s="235" t="s">
        <v>204</v>
      </c>
      <c r="D15" s="274" t="s">
        <v>69</v>
      </c>
      <c r="E15" s="278">
        <v>0.2</v>
      </c>
      <c r="F15" s="276" t="s">
        <v>193</v>
      </c>
      <c r="G15" s="44"/>
    </row>
    <row r="16" spans="1:7" ht="21.75" customHeight="1">
      <c r="A16" s="223"/>
      <c r="B16" s="683" t="s">
        <v>205</v>
      </c>
      <c r="C16" s="683"/>
      <c r="D16" s="225"/>
      <c r="E16" s="225"/>
      <c r="F16" s="225"/>
      <c r="G16" s="44"/>
    </row>
    <row r="17" spans="1:7" ht="25.5" customHeight="1">
      <c r="A17" s="223">
        <v>10</v>
      </c>
      <c r="B17" s="277"/>
      <c r="C17" s="235" t="s">
        <v>206</v>
      </c>
      <c r="D17" s="274" t="s">
        <v>68</v>
      </c>
      <c r="E17" s="279">
        <v>0.05</v>
      </c>
      <c r="F17" s="276" t="s">
        <v>207</v>
      </c>
      <c r="G17" s="59" t="s">
        <v>320</v>
      </c>
    </row>
    <row r="18" spans="1:7" ht="21.75" customHeight="1">
      <c r="A18" s="223">
        <v>11</v>
      </c>
      <c r="B18" s="273"/>
      <c r="C18" s="224" t="s">
        <v>325</v>
      </c>
      <c r="D18" s="258" t="s">
        <v>180</v>
      </c>
      <c r="E18" s="280">
        <v>24</v>
      </c>
      <c r="F18" s="276" t="s">
        <v>193</v>
      </c>
      <c r="G18" s="44"/>
    </row>
    <row r="19" spans="1:7" ht="21.75" customHeight="1">
      <c r="A19" s="223">
        <v>12</v>
      </c>
      <c r="B19" s="273"/>
      <c r="C19" s="224" t="s">
        <v>209</v>
      </c>
      <c r="D19" s="258" t="s">
        <v>180</v>
      </c>
      <c r="E19" s="280">
        <v>16</v>
      </c>
      <c r="F19" s="276" t="s">
        <v>193</v>
      </c>
      <c r="G19" s="44"/>
    </row>
    <row r="20" spans="1:7" ht="21.75" customHeight="1">
      <c r="A20" s="223"/>
      <c r="B20" s="683" t="s">
        <v>210</v>
      </c>
      <c r="C20" s="683"/>
      <c r="D20" s="263"/>
      <c r="E20" s="271"/>
      <c r="F20" s="272"/>
      <c r="G20" s="44"/>
    </row>
    <row r="21" spans="1:7" ht="21.75" customHeight="1">
      <c r="A21" s="223">
        <v>13</v>
      </c>
      <c r="B21" s="273"/>
      <c r="C21" s="224" t="s">
        <v>211</v>
      </c>
      <c r="D21" s="258" t="s">
        <v>64</v>
      </c>
      <c r="E21" s="231">
        <v>8000000</v>
      </c>
      <c r="F21" s="276" t="s">
        <v>193</v>
      </c>
      <c r="G21" s="60"/>
    </row>
    <row r="22" spans="1:7" ht="21.75" customHeight="1">
      <c r="A22" s="223">
        <v>14</v>
      </c>
      <c r="B22" s="273"/>
      <c r="C22" s="224" t="s">
        <v>212</v>
      </c>
      <c r="D22" s="258" t="s">
        <v>64</v>
      </c>
      <c r="E22" s="231">
        <v>1000000</v>
      </c>
      <c r="F22" s="276" t="s">
        <v>193</v>
      </c>
      <c r="G22" s="44"/>
    </row>
    <row r="23" spans="1:7" ht="21.75" customHeight="1">
      <c r="A23" s="223">
        <v>15</v>
      </c>
      <c r="B23" s="273"/>
      <c r="C23" s="224" t="s">
        <v>213</v>
      </c>
      <c r="D23" s="258" t="s">
        <v>64</v>
      </c>
      <c r="E23" s="231">
        <v>3000000</v>
      </c>
      <c r="F23" s="276" t="s">
        <v>193</v>
      </c>
      <c r="G23" s="44"/>
    </row>
    <row r="24" spans="1:7" ht="21.75" customHeight="1">
      <c r="A24" s="223">
        <v>16</v>
      </c>
      <c r="B24" s="273"/>
      <c r="C24" s="224" t="s">
        <v>214</v>
      </c>
      <c r="D24" s="258" t="s">
        <v>64</v>
      </c>
      <c r="E24" s="231">
        <f>5000000*12</f>
        <v>60000000</v>
      </c>
      <c r="F24" s="276" t="s">
        <v>193</v>
      </c>
      <c r="G24" s="44"/>
    </row>
    <row r="25" spans="1:7" ht="21.75" customHeight="1">
      <c r="A25" s="223">
        <v>17</v>
      </c>
      <c r="B25" s="273"/>
      <c r="C25" s="224" t="s">
        <v>215</v>
      </c>
      <c r="D25" s="258" t="s">
        <v>64</v>
      </c>
      <c r="E25" s="231">
        <v>2000000</v>
      </c>
      <c r="F25" s="276" t="s">
        <v>193</v>
      </c>
      <c r="G25" s="44"/>
    </row>
    <row r="26" spans="1:7" ht="21.75" customHeight="1">
      <c r="A26" s="223"/>
      <c r="B26" s="683" t="s">
        <v>216</v>
      </c>
      <c r="C26" s="683"/>
      <c r="D26" s="258"/>
      <c r="E26" s="271"/>
      <c r="F26" s="272"/>
      <c r="G26" s="44"/>
    </row>
    <row r="27" spans="1:7" ht="21.75" customHeight="1">
      <c r="A27" s="223"/>
      <c r="B27" s="686" t="s">
        <v>217</v>
      </c>
      <c r="C27" s="686"/>
      <c r="D27" s="258"/>
      <c r="E27" s="271"/>
      <c r="F27" s="272"/>
      <c r="G27" s="44"/>
    </row>
    <row r="28" spans="1:8" ht="27" customHeight="1">
      <c r="A28" s="223">
        <v>18</v>
      </c>
      <c r="B28" s="225"/>
      <c r="C28" s="235" t="s">
        <v>321</v>
      </c>
      <c r="D28" s="274" t="s">
        <v>219</v>
      </c>
      <c r="E28" s="281">
        <f>20*4*12</f>
        <v>960</v>
      </c>
      <c r="F28" s="282" t="s">
        <v>322</v>
      </c>
      <c r="G28" s="518"/>
      <c r="H28" s="517"/>
    </row>
    <row r="29" spans="1:8" ht="27" customHeight="1">
      <c r="A29" s="223">
        <v>19</v>
      </c>
      <c r="B29" s="225"/>
      <c r="C29" s="235" t="s">
        <v>321</v>
      </c>
      <c r="D29" s="274" t="s">
        <v>219</v>
      </c>
      <c r="E29" s="281">
        <f>2*4*12</f>
        <v>96</v>
      </c>
      <c r="F29" s="282" t="s">
        <v>323</v>
      </c>
      <c r="G29" s="61"/>
      <c r="H29" s="48"/>
    </row>
    <row r="30" spans="1:7" ht="25.5">
      <c r="A30" s="223">
        <v>20</v>
      </c>
      <c r="B30" s="273"/>
      <c r="C30" s="224" t="s">
        <v>326</v>
      </c>
      <c r="D30" s="258" t="s">
        <v>180</v>
      </c>
      <c r="E30" s="237">
        <v>15</v>
      </c>
      <c r="F30" s="283" t="s">
        <v>254</v>
      </c>
      <c r="G30" s="60"/>
    </row>
    <row r="31" spans="1:7" ht="23.25" customHeight="1">
      <c r="A31" s="223">
        <v>21</v>
      </c>
      <c r="B31" s="273"/>
      <c r="C31" s="224" t="s">
        <v>328</v>
      </c>
      <c r="D31" s="258" t="s">
        <v>64</v>
      </c>
      <c r="E31" s="237">
        <f>'Dữ liệu cơ bản'!D2</f>
        <v>26953.125</v>
      </c>
      <c r="F31" s="276" t="s">
        <v>193</v>
      </c>
      <c r="G31" s="44"/>
    </row>
    <row r="32" spans="1:7" ht="23.25" customHeight="1">
      <c r="A32" s="223">
        <v>22</v>
      </c>
      <c r="B32" s="273"/>
      <c r="C32" s="224" t="s">
        <v>327</v>
      </c>
      <c r="D32" s="258" t="s">
        <v>180</v>
      </c>
      <c r="E32" s="237">
        <v>4</v>
      </c>
      <c r="F32" s="276" t="s">
        <v>193</v>
      </c>
      <c r="G32" s="44"/>
    </row>
    <row r="33" spans="1:7" ht="23.25" customHeight="1">
      <c r="A33" s="223">
        <v>23</v>
      </c>
      <c r="B33" s="273"/>
      <c r="C33" s="235" t="s">
        <v>329</v>
      </c>
      <c r="D33" s="258" t="s">
        <v>64</v>
      </c>
      <c r="E33" s="233">
        <f>'Dữ liệu cơ bản'!D5</f>
        <v>39772.72727272727</v>
      </c>
      <c r="F33" s="239" t="s">
        <v>151</v>
      </c>
      <c r="G33" s="293"/>
    </row>
    <row r="34" spans="1:7" ht="23.25" customHeight="1">
      <c r="A34" s="223"/>
      <c r="B34" s="273"/>
      <c r="C34" s="235" t="s">
        <v>177</v>
      </c>
      <c r="D34" s="258" t="s">
        <v>65</v>
      </c>
      <c r="E34" s="284">
        <v>0.1</v>
      </c>
      <c r="F34" s="276" t="s">
        <v>193</v>
      </c>
      <c r="G34" s="61"/>
    </row>
    <row r="35" spans="1:9" ht="25.5" customHeight="1">
      <c r="A35" s="223"/>
      <c r="B35" s="682" t="s">
        <v>419</v>
      </c>
      <c r="C35" s="682"/>
      <c r="D35" s="263"/>
      <c r="E35" s="271"/>
      <c r="F35" s="272"/>
      <c r="G35" s="44"/>
      <c r="I35" s="1" t="s">
        <v>60</v>
      </c>
    </row>
    <row r="36" spans="1:7" ht="25.5" customHeight="1">
      <c r="A36" s="223">
        <v>24</v>
      </c>
      <c r="B36" s="273"/>
      <c r="C36" s="235" t="s">
        <v>224</v>
      </c>
      <c r="D36" s="274" t="s">
        <v>169</v>
      </c>
      <c r="E36" s="237">
        <v>5</v>
      </c>
      <c r="F36" s="276" t="s">
        <v>193</v>
      </c>
      <c r="G36" s="44"/>
    </row>
    <row r="37" spans="1:7" ht="25.5" customHeight="1">
      <c r="A37" s="223">
        <v>25</v>
      </c>
      <c r="B37" s="273"/>
      <c r="C37" s="224" t="s">
        <v>225</v>
      </c>
      <c r="D37" s="274" t="s">
        <v>169</v>
      </c>
      <c r="E37" s="237">
        <v>2</v>
      </c>
      <c r="F37" s="276" t="s">
        <v>193</v>
      </c>
      <c r="G37" s="44"/>
    </row>
    <row r="38" spans="1:7" ht="25.5" customHeight="1">
      <c r="A38" s="223">
        <v>26</v>
      </c>
      <c r="B38" s="273"/>
      <c r="C38" s="235" t="s">
        <v>226</v>
      </c>
      <c r="D38" s="274" t="s">
        <v>169</v>
      </c>
      <c r="E38" s="237">
        <v>3</v>
      </c>
      <c r="F38" s="276" t="s">
        <v>193</v>
      </c>
      <c r="G38" s="44"/>
    </row>
    <row r="39" spans="1:7" ht="25.5" customHeight="1">
      <c r="A39" s="223">
        <v>27</v>
      </c>
      <c r="B39" s="273"/>
      <c r="C39" s="235" t="s">
        <v>227</v>
      </c>
      <c r="D39" s="274" t="s">
        <v>169</v>
      </c>
      <c r="E39" s="237">
        <v>1</v>
      </c>
      <c r="F39" s="276" t="s">
        <v>193</v>
      </c>
      <c r="G39" s="44"/>
    </row>
    <row r="40" spans="1:7" ht="25.5" customHeight="1">
      <c r="A40" s="223">
        <v>28</v>
      </c>
      <c r="B40" s="273"/>
      <c r="C40" s="224" t="s">
        <v>228</v>
      </c>
      <c r="D40" s="258" t="s">
        <v>64</v>
      </c>
      <c r="E40" s="285">
        <f>E31*8*22*12</f>
        <v>56925000</v>
      </c>
      <c r="F40" s="276" t="s">
        <v>193</v>
      </c>
      <c r="G40" s="56"/>
    </row>
    <row r="41" spans="1:7" ht="25.5" customHeight="1">
      <c r="A41" s="223"/>
      <c r="B41" s="682" t="s">
        <v>229</v>
      </c>
      <c r="C41" s="682"/>
      <c r="D41" s="258"/>
      <c r="E41" s="285"/>
      <c r="F41" s="239"/>
      <c r="G41" s="56"/>
    </row>
    <row r="42" spans="1:7" ht="25.5" customHeight="1">
      <c r="A42" s="223">
        <v>29</v>
      </c>
      <c r="B42" s="225"/>
      <c r="C42" s="235" t="s">
        <v>230</v>
      </c>
      <c r="D42" s="258" t="s">
        <v>180</v>
      </c>
      <c r="E42" s="237">
        <v>24</v>
      </c>
      <c r="F42" s="276" t="s">
        <v>193</v>
      </c>
      <c r="G42" s="44"/>
    </row>
    <row r="43" spans="1:7" ht="25.5" customHeight="1">
      <c r="A43" s="223">
        <v>30</v>
      </c>
      <c r="B43" s="273"/>
      <c r="C43" s="235" t="s">
        <v>178</v>
      </c>
      <c r="D43" s="258" t="s">
        <v>64</v>
      </c>
      <c r="E43" s="285">
        <f>E31</f>
        <v>26953.125</v>
      </c>
      <c r="F43" s="276" t="s">
        <v>193</v>
      </c>
      <c r="G43" s="68"/>
    </row>
    <row r="44" spans="1:7" ht="25.5" customHeight="1">
      <c r="A44" s="223">
        <v>31</v>
      </c>
      <c r="B44" s="273"/>
      <c r="C44" s="235" t="s">
        <v>231</v>
      </c>
      <c r="D44" s="274" t="s">
        <v>169</v>
      </c>
      <c r="E44" s="237">
        <v>75</v>
      </c>
      <c r="F44" s="276" t="s">
        <v>193</v>
      </c>
      <c r="G44" s="44"/>
    </row>
    <row r="45" spans="1:7" ht="25.5" customHeight="1">
      <c r="A45" s="223">
        <v>32</v>
      </c>
      <c r="B45" s="273"/>
      <c r="C45" s="235" t="s">
        <v>232</v>
      </c>
      <c r="D45" s="258" t="s">
        <v>64</v>
      </c>
      <c r="E45" s="286">
        <v>100000</v>
      </c>
      <c r="F45" s="276" t="s">
        <v>193</v>
      </c>
      <c r="G45" s="523"/>
    </row>
    <row r="46" spans="1:7" ht="25.5" customHeight="1">
      <c r="A46" s="223">
        <v>33</v>
      </c>
      <c r="B46" s="273"/>
      <c r="C46" s="235" t="s">
        <v>233</v>
      </c>
      <c r="D46" s="274" t="s">
        <v>169</v>
      </c>
      <c r="E46" s="519">
        <f>'Dữ liệu cơ bản'!H6/2</f>
        <v>12264</v>
      </c>
      <c r="F46" s="276" t="s">
        <v>193</v>
      </c>
      <c r="G46" s="523" t="s">
        <v>330</v>
      </c>
    </row>
    <row r="47" spans="1:7" ht="25.5" customHeight="1">
      <c r="A47" s="223">
        <v>34</v>
      </c>
      <c r="B47" s="273"/>
      <c r="C47" s="235" t="s">
        <v>234</v>
      </c>
      <c r="D47" s="258" t="s">
        <v>64</v>
      </c>
      <c r="E47" s="237">
        <v>200000</v>
      </c>
      <c r="F47" s="276" t="s">
        <v>193</v>
      </c>
      <c r="G47" s="523"/>
    </row>
    <row r="48" spans="1:7" ht="25.5" customHeight="1">
      <c r="A48" s="223">
        <v>35</v>
      </c>
      <c r="B48" s="273"/>
      <c r="C48" s="235" t="s">
        <v>235</v>
      </c>
      <c r="D48" s="258" t="s">
        <v>65</v>
      </c>
      <c r="E48" s="279">
        <v>0.3</v>
      </c>
      <c r="F48" s="276" t="s">
        <v>193</v>
      </c>
      <c r="G48" s="523"/>
    </row>
    <row r="49" spans="1:7" ht="25.5" customHeight="1">
      <c r="A49" s="223">
        <v>36</v>
      </c>
      <c r="B49" s="273"/>
      <c r="C49" s="235" t="s">
        <v>236</v>
      </c>
      <c r="D49" s="258" t="s">
        <v>64</v>
      </c>
      <c r="E49" s="233">
        <v>66000000</v>
      </c>
      <c r="F49" s="276" t="s">
        <v>193</v>
      </c>
      <c r="G49" s="523"/>
    </row>
    <row r="50" spans="1:7" ht="25.5" customHeight="1">
      <c r="A50" s="223">
        <v>37</v>
      </c>
      <c r="B50" s="273"/>
      <c r="C50" s="235" t="s">
        <v>237</v>
      </c>
      <c r="D50" s="274" t="s">
        <v>169</v>
      </c>
      <c r="E50" s="231">
        <v>20</v>
      </c>
      <c r="F50" s="276" t="s">
        <v>193</v>
      </c>
      <c r="G50" s="523"/>
    </row>
    <row r="51" spans="1:7" ht="25.5" customHeight="1">
      <c r="A51" s="223">
        <v>38</v>
      </c>
      <c r="B51" s="273"/>
      <c r="C51" s="235" t="s">
        <v>334</v>
      </c>
      <c r="D51" s="274" t="s">
        <v>238</v>
      </c>
      <c r="E51" s="231">
        <f>'Dữ liệu cơ bản'!I7</f>
        <v>34</v>
      </c>
      <c r="F51" s="283" t="s">
        <v>181</v>
      </c>
      <c r="G51" s="44"/>
    </row>
    <row r="52" spans="1:7" ht="25.5" customHeight="1">
      <c r="A52" s="223">
        <v>39</v>
      </c>
      <c r="B52" s="273"/>
      <c r="C52" s="235" t="s">
        <v>239</v>
      </c>
      <c r="D52" s="274" t="s">
        <v>169</v>
      </c>
      <c r="E52" s="231">
        <v>1</v>
      </c>
      <c r="F52" s="276" t="s">
        <v>193</v>
      </c>
      <c r="G52" s="44"/>
    </row>
    <row r="53" spans="1:7" ht="25.5" customHeight="1">
      <c r="A53" s="223">
        <v>40</v>
      </c>
      <c r="B53" s="273"/>
      <c r="C53" s="235" t="s">
        <v>334</v>
      </c>
      <c r="D53" s="274" t="s">
        <v>238</v>
      </c>
      <c r="E53" s="231">
        <f>'Dữ liệu cơ bản'!I6</f>
        <v>25956</v>
      </c>
      <c r="F53" s="283" t="s">
        <v>181</v>
      </c>
      <c r="G53" s="44"/>
    </row>
    <row r="54" spans="1:7" ht="25.5" customHeight="1">
      <c r="A54" s="287"/>
      <c r="B54" s="685" t="s">
        <v>241</v>
      </c>
      <c r="C54" s="685"/>
      <c r="D54" s="274" t="s">
        <v>87</v>
      </c>
      <c r="E54" s="288">
        <f>SUM(E55:E57)</f>
        <v>15850000</v>
      </c>
      <c r="F54" s="283"/>
      <c r="G54" s="44"/>
    </row>
    <row r="55" spans="1:7" ht="25.5" customHeight="1">
      <c r="A55" s="223">
        <v>41</v>
      </c>
      <c r="B55" s="273"/>
      <c r="C55" s="235" t="s">
        <v>336</v>
      </c>
      <c r="D55" s="274" t="s">
        <v>87</v>
      </c>
      <c r="E55" s="275">
        <f>80000000*65/1000</f>
        <v>5200000</v>
      </c>
      <c r="F55" s="283"/>
      <c r="G55" s="44"/>
    </row>
    <row r="56" spans="1:7" ht="25.5" customHeight="1">
      <c r="A56" s="223">
        <v>42</v>
      </c>
      <c r="B56" s="273"/>
      <c r="C56" s="235" t="s">
        <v>337</v>
      </c>
      <c r="D56" s="274" t="s">
        <v>87</v>
      </c>
      <c r="E56" s="275">
        <f>10000000*65/1000</f>
        <v>650000</v>
      </c>
      <c r="F56" s="283"/>
      <c r="G56" s="44"/>
    </row>
    <row r="57" spans="1:7" ht="25.5" customHeight="1">
      <c r="A57" s="223"/>
      <c r="B57" s="273"/>
      <c r="C57" s="235" t="s">
        <v>335</v>
      </c>
      <c r="D57" s="274" t="s">
        <v>87</v>
      </c>
      <c r="E57" s="275">
        <f>20000*500000/1000</f>
        <v>10000000</v>
      </c>
      <c r="F57" s="283"/>
      <c r="G57" s="44"/>
    </row>
    <row r="58" spans="1:7" ht="25.5" customHeight="1">
      <c r="A58" s="223"/>
      <c r="B58" s="683" t="s">
        <v>242</v>
      </c>
      <c r="C58" s="683"/>
      <c r="D58" s="274"/>
      <c r="E58" s="231"/>
      <c r="F58" s="272"/>
      <c r="G58" s="44"/>
    </row>
    <row r="59" spans="1:7" ht="25.5" customHeight="1">
      <c r="A59" s="223">
        <v>43</v>
      </c>
      <c r="B59" s="289"/>
      <c r="C59" s="224" t="s">
        <v>243</v>
      </c>
      <c r="D59" s="274" t="s">
        <v>268</v>
      </c>
      <c r="E59" s="265">
        <v>1926</v>
      </c>
      <c r="F59" s="276" t="s">
        <v>193</v>
      </c>
      <c r="G59" s="44"/>
    </row>
    <row r="60" spans="1:7" ht="25.5" customHeight="1">
      <c r="A60" s="223">
        <v>44</v>
      </c>
      <c r="B60" s="289"/>
      <c r="C60" s="526" t="s">
        <v>413</v>
      </c>
      <c r="D60" s="274" t="s">
        <v>65</v>
      </c>
      <c r="E60" s="543">
        <v>0.048</v>
      </c>
      <c r="F60" s="272"/>
      <c r="G60" s="44"/>
    </row>
    <row r="61" spans="1:7" ht="25.5" customHeight="1">
      <c r="A61" s="223"/>
      <c r="B61" s="684" t="s">
        <v>344</v>
      </c>
      <c r="C61" s="684"/>
      <c r="D61" s="263"/>
      <c r="E61" s="231"/>
      <c r="F61" s="272"/>
      <c r="G61" s="44"/>
    </row>
    <row r="62" spans="1:7" ht="25.5" customHeight="1">
      <c r="A62" s="223"/>
      <c r="B62" s="683" t="s">
        <v>244</v>
      </c>
      <c r="C62" s="683"/>
      <c r="D62" s="263"/>
      <c r="E62" s="225"/>
      <c r="F62" s="290"/>
      <c r="G62" s="44"/>
    </row>
    <row r="63" spans="1:7" ht="25.5" customHeight="1">
      <c r="A63" s="223">
        <v>45</v>
      </c>
      <c r="B63" s="225"/>
      <c r="C63" s="224" t="s">
        <v>245</v>
      </c>
      <c r="D63" s="258" t="s">
        <v>180</v>
      </c>
      <c r="E63" s="521">
        <v>48</v>
      </c>
      <c r="F63" s="224" t="s">
        <v>151</v>
      </c>
      <c r="G63" s="44"/>
    </row>
    <row r="64" spans="1:7" ht="25.5" customHeight="1">
      <c r="A64" s="223">
        <v>46</v>
      </c>
      <c r="B64" s="225"/>
      <c r="C64" s="224" t="s">
        <v>149</v>
      </c>
      <c r="D64" s="258" t="s">
        <v>169</v>
      </c>
      <c r="E64" s="237">
        <f>'Dữ liệu cơ bản'!D4</f>
        <v>281714</v>
      </c>
      <c r="F64" s="224" t="s">
        <v>151</v>
      </c>
      <c r="G64" s="44"/>
    </row>
    <row r="65" spans="1:7" ht="25.5" customHeight="1">
      <c r="A65" s="223"/>
      <c r="B65" s="683" t="s">
        <v>246</v>
      </c>
      <c r="C65" s="683"/>
      <c r="D65" s="263"/>
      <c r="E65" s="225"/>
      <c r="F65" s="290"/>
      <c r="G65" s="44"/>
    </row>
    <row r="66" spans="1:7" ht="25.5" customHeight="1">
      <c r="A66" s="223"/>
      <c r="B66" s="289"/>
      <c r="C66" s="289" t="s">
        <v>182</v>
      </c>
      <c r="D66" s="258" t="s">
        <v>171</v>
      </c>
      <c r="E66" s="237">
        <v>346777</v>
      </c>
      <c r="F66" s="239" t="s">
        <v>184</v>
      </c>
      <c r="G66" s="44"/>
    </row>
    <row r="67" spans="1:8" ht="25.5" customHeight="1">
      <c r="A67" s="223">
        <v>47</v>
      </c>
      <c r="B67" s="225"/>
      <c r="C67" s="224" t="s">
        <v>247</v>
      </c>
      <c r="D67" s="258" t="s">
        <v>171</v>
      </c>
      <c r="E67" s="237">
        <f>3651+2753</f>
        <v>6404</v>
      </c>
      <c r="F67" s="239" t="s">
        <v>185</v>
      </c>
      <c r="G67" s="44" t="s">
        <v>183</v>
      </c>
      <c r="H67" s="266"/>
    </row>
    <row r="68" spans="1:7" ht="25.5" customHeight="1">
      <c r="A68" s="223">
        <v>48</v>
      </c>
      <c r="B68" s="225"/>
      <c r="C68" s="224" t="s">
        <v>248</v>
      </c>
      <c r="D68" s="258" t="s">
        <v>180</v>
      </c>
      <c r="E68" s="519">
        <f>5*5*4*12</f>
        <v>1200</v>
      </c>
      <c r="F68" s="224" t="s">
        <v>249</v>
      </c>
      <c r="G68" s="44"/>
    </row>
    <row r="69" spans="1:7" ht="25.5" customHeight="1">
      <c r="A69" s="223">
        <v>49</v>
      </c>
      <c r="B69" s="225"/>
      <c r="C69" s="224" t="s">
        <v>179</v>
      </c>
      <c r="D69" s="263" t="s">
        <v>65</v>
      </c>
      <c r="E69" s="520">
        <v>0.4</v>
      </c>
      <c r="F69" s="224" t="s">
        <v>249</v>
      </c>
      <c r="G69" s="44"/>
    </row>
    <row r="70" spans="1:7" ht="25.5" customHeight="1">
      <c r="A70" s="223">
        <v>50</v>
      </c>
      <c r="B70" s="225"/>
      <c r="C70" s="224" t="s">
        <v>250</v>
      </c>
      <c r="D70" s="258" t="s">
        <v>171</v>
      </c>
      <c r="E70" s="519">
        <f>E66-E67</f>
        <v>340373</v>
      </c>
      <c r="F70" s="239" t="s">
        <v>185</v>
      </c>
      <c r="G70" s="44"/>
    </row>
    <row r="71" spans="1:7" ht="25.5" customHeight="1">
      <c r="A71" s="223">
        <v>51</v>
      </c>
      <c r="B71" s="225"/>
      <c r="C71" s="224" t="s">
        <v>251</v>
      </c>
      <c r="D71" s="258" t="s">
        <v>180</v>
      </c>
      <c r="E71" s="521">
        <f>1*5*4*12</f>
        <v>240</v>
      </c>
      <c r="F71" s="224" t="s">
        <v>252</v>
      </c>
      <c r="G71" s="44"/>
    </row>
    <row r="72" spans="1:7" ht="25.5" customHeight="1" thickBot="1">
      <c r="A72" s="250">
        <v>52</v>
      </c>
      <c r="B72" s="245"/>
      <c r="C72" s="244" t="s">
        <v>179</v>
      </c>
      <c r="D72" s="264" t="s">
        <v>65</v>
      </c>
      <c r="E72" s="522">
        <v>0.4</v>
      </c>
      <c r="F72" s="244" t="s">
        <v>249</v>
      </c>
      <c r="G72" s="54"/>
    </row>
    <row r="73" spans="1:7" ht="25.5" customHeight="1">
      <c r="A73" s="638"/>
      <c r="B73" s="639"/>
      <c r="C73" s="640"/>
      <c r="D73" s="638"/>
      <c r="E73" s="640"/>
      <c r="F73" s="641"/>
      <c r="G73" s="642"/>
    </row>
    <row r="74" spans="1:7" s="106" customFormat="1" ht="25.5" customHeight="1">
      <c r="A74" s="643"/>
      <c r="B74" s="644"/>
      <c r="C74" s="645" t="s">
        <v>253</v>
      </c>
      <c r="D74" s="643"/>
      <c r="E74" s="646">
        <f>'Dữ liệu cơ bản'!D4</f>
        <v>281714</v>
      </c>
      <c r="F74" s="647" t="s">
        <v>107</v>
      </c>
      <c r="G74" s="648"/>
    </row>
    <row r="75" spans="1:7" s="106" customFormat="1" ht="25.5" customHeight="1">
      <c r="A75" s="643"/>
      <c r="B75" s="649"/>
      <c r="C75" s="649"/>
      <c r="D75" s="650"/>
      <c r="E75" s="646"/>
      <c r="F75" s="649"/>
      <c r="G75" s="648"/>
    </row>
    <row r="76" spans="1:6" s="106" customFormat="1" ht="25.5" customHeight="1">
      <c r="A76" s="252"/>
      <c r="B76" s="251"/>
      <c r="C76" s="251"/>
      <c r="D76" s="251"/>
      <c r="E76" s="251"/>
      <c r="F76" s="251"/>
    </row>
    <row r="77" spans="1:6" s="106" customFormat="1" ht="25.5" customHeight="1">
      <c r="A77" s="252"/>
      <c r="B77" s="251"/>
      <c r="C77" s="251"/>
      <c r="D77" s="251"/>
      <c r="E77" s="251"/>
      <c r="F77" s="251"/>
    </row>
    <row r="78" spans="1:6" s="106" customFormat="1" ht="25.5" customHeight="1">
      <c r="A78" s="252"/>
      <c r="B78" s="251"/>
      <c r="C78" s="251"/>
      <c r="D78" s="251"/>
      <c r="E78" s="251"/>
      <c r="F78" s="251"/>
    </row>
    <row r="79" spans="1:7" s="106" customFormat="1" ht="25.5" customHeight="1">
      <c r="A79" s="252"/>
      <c r="B79" s="251"/>
      <c r="C79" s="251"/>
      <c r="D79" s="251"/>
      <c r="E79" s="251"/>
      <c r="F79" s="251"/>
      <c r="G79" s="106" t="s">
        <v>60</v>
      </c>
    </row>
    <row r="80" spans="1:6" s="106" customFormat="1" ht="25.5" customHeight="1">
      <c r="A80" s="252"/>
      <c r="B80" s="251"/>
      <c r="C80" s="251"/>
      <c r="D80" s="251"/>
      <c r="E80" s="251"/>
      <c r="F80" s="251"/>
    </row>
    <row r="81" spans="1:6" s="106" customFormat="1" ht="25.5" customHeight="1">
      <c r="A81" s="252"/>
      <c r="B81" s="251"/>
      <c r="C81" s="251"/>
      <c r="D81" s="251"/>
      <c r="E81" s="251"/>
      <c r="F81" s="251"/>
    </row>
    <row r="82" spans="1:6" s="106" customFormat="1" ht="25.5" customHeight="1">
      <c r="A82" s="252"/>
      <c r="B82" s="251"/>
      <c r="C82" s="251"/>
      <c r="D82" s="251"/>
      <c r="E82" s="251"/>
      <c r="F82" s="251"/>
    </row>
    <row r="83" spans="2:6" ht="25.5" customHeight="1">
      <c r="B83" s="251"/>
      <c r="D83" s="251"/>
      <c r="F83" s="251"/>
    </row>
    <row r="84" spans="2:6" ht="25.5" customHeight="1">
      <c r="B84" s="251"/>
      <c r="D84" s="251"/>
      <c r="F84" s="251"/>
    </row>
    <row r="85" spans="2:6" ht="25.5" customHeight="1">
      <c r="B85" s="251"/>
      <c r="D85" s="251"/>
      <c r="F85" s="251"/>
    </row>
    <row r="86" spans="2:6" ht="25.5" customHeight="1">
      <c r="B86" s="251"/>
      <c r="D86" s="251"/>
      <c r="F86" s="251"/>
    </row>
    <row r="87" spans="2:6" ht="25.5" customHeight="1">
      <c r="B87" s="251"/>
      <c r="D87" s="251"/>
      <c r="F87" s="251"/>
    </row>
    <row r="88" spans="2:6" ht="25.5" customHeight="1">
      <c r="B88" s="251"/>
      <c r="D88" s="251"/>
      <c r="F88" s="251"/>
    </row>
    <row r="89" spans="2:6" ht="25.5" customHeight="1">
      <c r="B89" s="251"/>
      <c r="D89" s="251"/>
      <c r="F89" s="251"/>
    </row>
    <row r="90" spans="2:6" ht="25.5" customHeight="1">
      <c r="B90" s="251"/>
      <c r="D90" s="251"/>
      <c r="F90" s="251"/>
    </row>
    <row r="91" spans="2:6" ht="25.5" customHeight="1">
      <c r="B91" s="251"/>
      <c r="D91" s="251"/>
      <c r="F91" s="251"/>
    </row>
    <row r="92" spans="2:6" ht="25.5" customHeight="1">
      <c r="B92" s="251"/>
      <c r="D92" s="251"/>
      <c r="F92" s="251"/>
    </row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</sheetData>
  <sheetProtection/>
  <mergeCells count="16">
    <mergeCell ref="B26:C26"/>
    <mergeCell ref="B27:C27"/>
    <mergeCell ref="B1:C1"/>
    <mergeCell ref="B3:C3"/>
    <mergeCell ref="B4:C4"/>
    <mergeCell ref="B7:C7"/>
    <mergeCell ref="B35:C35"/>
    <mergeCell ref="B58:C58"/>
    <mergeCell ref="B14:C14"/>
    <mergeCell ref="B65:C65"/>
    <mergeCell ref="B61:C61"/>
    <mergeCell ref="B54:C54"/>
    <mergeCell ref="B16:C16"/>
    <mergeCell ref="B41:C41"/>
    <mergeCell ref="B62:C62"/>
    <mergeCell ref="B20:C20"/>
  </mergeCells>
  <printOptions/>
  <pageMargins left="0.47" right="0.25" top="0.56" bottom="0.38" header="0.2" footer="0.1"/>
  <pageSetup horizontalDpi="600" verticalDpi="600" orientation="landscape" paperSize="9" r:id="rId1"/>
  <headerFooter alignWithMargins="0">
    <oddHeader xml:space="preserve">&amp;C&amp;"-,Bold"&amp;14PHỤ LỤC 2: DỮ LIỆU TÍNH TOÁN THEO HOẠT ĐỘNG </oddHeader>
    <oddFooter>&amp;CTrang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125" zoomScaleNormal="125" zoomScalePageLayoutView="125" workbookViewId="0" topLeftCell="A1">
      <pane xSplit="2" ySplit="1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8.8515625" defaultRowHeight="15"/>
  <cols>
    <col min="1" max="1" width="6.421875" style="252" bestFit="1" customWidth="1"/>
    <col min="2" max="2" width="40.7109375" style="251" bestFit="1" customWidth="1"/>
    <col min="3" max="3" width="12.28125" style="252" bestFit="1" customWidth="1"/>
    <col min="4" max="4" width="12.7109375" style="251" bestFit="1" customWidth="1"/>
    <col min="5" max="5" width="39.140625" style="251" customWidth="1"/>
    <col min="6" max="6" width="30.00390625" style="251" customWidth="1"/>
    <col min="7" max="7" width="8.8515625" style="1" customWidth="1"/>
    <col min="8" max="8" width="11.28125" style="1" bestFit="1" customWidth="1"/>
    <col min="9" max="10" width="10.28125" style="1" bestFit="1" customWidth="1"/>
    <col min="11" max="16384" width="8.8515625" style="1" customWidth="1"/>
  </cols>
  <sheetData>
    <row r="1" spans="1:6" ht="27.75" customHeight="1">
      <c r="A1" s="253" t="s">
        <v>141</v>
      </c>
      <c r="B1" s="254" t="s">
        <v>142</v>
      </c>
      <c r="C1" s="254" t="s">
        <v>143</v>
      </c>
      <c r="D1" s="255" t="s">
        <v>144</v>
      </c>
      <c r="E1" s="255" t="s">
        <v>145</v>
      </c>
      <c r="F1" s="256" t="s">
        <v>146</v>
      </c>
    </row>
    <row r="2" spans="1:15" ht="27.75" customHeight="1">
      <c r="A2" s="223">
        <v>1</v>
      </c>
      <c r="B2" s="224" t="s">
        <v>147</v>
      </c>
      <c r="C2" s="263" t="s">
        <v>64</v>
      </c>
      <c r="D2" s="231">
        <f>4743750/22/8</f>
        <v>26953.125</v>
      </c>
      <c r="E2" s="224" t="s">
        <v>104</v>
      </c>
      <c r="F2" s="232" t="s">
        <v>103</v>
      </c>
      <c r="G2" s="77">
        <v>0.2</v>
      </c>
      <c r="M2" s="1">
        <v>3.3</v>
      </c>
      <c r="N2" s="1">
        <v>1150000</v>
      </c>
      <c r="O2" s="1">
        <f>M2*N2*125%</f>
        <v>4743750</v>
      </c>
    </row>
    <row r="3" spans="1:13" ht="25.5">
      <c r="A3" s="223">
        <v>2</v>
      </c>
      <c r="B3" s="224" t="s">
        <v>148</v>
      </c>
      <c r="C3" s="263" t="s">
        <v>64</v>
      </c>
      <c r="D3" s="233">
        <f>6382500/22/8</f>
        <v>36264.204545454544</v>
      </c>
      <c r="E3" s="224" t="s">
        <v>104</v>
      </c>
      <c r="F3" s="232" t="s">
        <v>101</v>
      </c>
      <c r="H3" s="173">
        <f>H5/I5</f>
        <v>0.9449018853405156</v>
      </c>
      <c r="J3" s="168">
        <f>J5/I5</f>
        <v>1.0661792997306656</v>
      </c>
      <c r="M3" s="1">
        <f>L2301</f>
        <v>0</v>
      </c>
    </row>
    <row r="4" spans="1:10" ht="19.5" customHeight="1">
      <c r="A4" s="223">
        <v>3</v>
      </c>
      <c r="B4" s="224" t="s">
        <v>149</v>
      </c>
      <c r="C4" s="258" t="s">
        <v>169</v>
      </c>
      <c r="D4" s="519">
        <v>281714</v>
      </c>
      <c r="E4" s="239" t="s">
        <v>107</v>
      </c>
      <c r="F4" s="234"/>
      <c r="H4" s="100" t="s">
        <v>61</v>
      </c>
      <c r="I4" s="100" t="s">
        <v>62</v>
      </c>
      <c r="J4" s="100" t="s">
        <v>63</v>
      </c>
    </row>
    <row r="5" spans="1:10" ht="27.75" customHeight="1">
      <c r="A5" s="223">
        <v>4</v>
      </c>
      <c r="B5" s="235" t="s">
        <v>329</v>
      </c>
      <c r="C5" s="263" t="s">
        <v>64</v>
      </c>
      <c r="D5" s="233">
        <f>7000000/22/8</f>
        <v>39772.72727272727</v>
      </c>
      <c r="E5" s="224" t="s">
        <v>102</v>
      </c>
      <c r="F5" s="232" t="s">
        <v>174</v>
      </c>
      <c r="G5" s="524" t="s">
        <v>331</v>
      </c>
      <c r="H5" s="90">
        <f>SUM(H8:H23)</f>
        <v>24558</v>
      </c>
      <c r="I5" s="91">
        <f>SUM(I8:I23)</f>
        <v>25990</v>
      </c>
      <c r="J5" s="92">
        <f>SUM(J8:J23)</f>
        <v>27710</v>
      </c>
    </row>
    <row r="6" spans="1:10" ht="24.75" customHeight="1">
      <c r="A6" s="223">
        <v>5</v>
      </c>
      <c r="B6" s="224" t="s">
        <v>150</v>
      </c>
      <c r="C6" s="258" t="s">
        <v>143</v>
      </c>
      <c r="D6" s="236">
        <v>96852</v>
      </c>
      <c r="E6" s="224" t="s">
        <v>151</v>
      </c>
      <c r="F6" s="234"/>
      <c r="G6" s="524" t="s">
        <v>332</v>
      </c>
      <c r="H6" s="93">
        <f>H5-H7</f>
        <v>24528</v>
      </c>
      <c r="I6" s="94">
        <f>I5-I7</f>
        <v>25956</v>
      </c>
      <c r="J6" s="95">
        <f>J5-J7</f>
        <v>27676</v>
      </c>
    </row>
    <row r="7" spans="1:10" ht="24.75" customHeight="1" thickBot="1">
      <c r="A7" s="223">
        <v>6</v>
      </c>
      <c r="B7" s="224" t="s">
        <v>152</v>
      </c>
      <c r="C7" s="263" t="s">
        <v>170</v>
      </c>
      <c r="D7" s="237">
        <f>SUM(D8:D22)</f>
        <v>26520</v>
      </c>
      <c r="E7" s="225"/>
      <c r="F7" s="238"/>
      <c r="G7" s="525" t="s">
        <v>333</v>
      </c>
      <c r="H7" s="96">
        <f>D8+D9+D10</f>
        <v>30</v>
      </c>
      <c r="I7" s="97">
        <f>I8+I9+I10+I16+I17+I20+I22</f>
        <v>34</v>
      </c>
      <c r="J7" s="98">
        <f>J8+J9+J10+J16+J17+J20+J22</f>
        <v>34</v>
      </c>
    </row>
    <row r="8" spans="1:10" ht="24.75" customHeight="1">
      <c r="A8" s="223">
        <v>7</v>
      </c>
      <c r="B8" s="224" t="s">
        <v>131</v>
      </c>
      <c r="C8" s="263" t="s">
        <v>170</v>
      </c>
      <c r="D8" s="226">
        <v>18</v>
      </c>
      <c r="E8" s="225" t="s">
        <v>133</v>
      </c>
      <c r="F8" s="227" t="s">
        <v>136</v>
      </c>
      <c r="H8" s="80">
        <v>18</v>
      </c>
      <c r="I8" s="65">
        <v>18</v>
      </c>
      <c r="J8" s="55">
        <v>18</v>
      </c>
    </row>
    <row r="9" spans="1:10" ht="24.75" customHeight="1">
      <c r="A9" s="223">
        <v>8</v>
      </c>
      <c r="B9" s="224" t="s">
        <v>153</v>
      </c>
      <c r="C9" s="263" t="s">
        <v>170</v>
      </c>
      <c r="D9" s="226">
        <v>4</v>
      </c>
      <c r="E9" s="225" t="s">
        <v>133</v>
      </c>
      <c r="F9" s="227" t="s">
        <v>136</v>
      </c>
      <c r="H9" s="80">
        <v>4</v>
      </c>
      <c r="I9" s="65">
        <v>4</v>
      </c>
      <c r="J9" s="55">
        <v>4</v>
      </c>
    </row>
    <row r="10" spans="1:10" ht="27.75" customHeight="1">
      <c r="A10" s="223">
        <v>9</v>
      </c>
      <c r="B10" s="224" t="s">
        <v>154</v>
      </c>
      <c r="C10" s="263" t="s">
        <v>170</v>
      </c>
      <c r="D10" s="226">
        <v>8</v>
      </c>
      <c r="E10" s="239" t="s">
        <v>107</v>
      </c>
      <c r="F10" s="227" t="s">
        <v>136</v>
      </c>
      <c r="H10" s="80">
        <v>8</v>
      </c>
      <c r="I10" s="65">
        <v>8</v>
      </c>
      <c r="J10" s="55">
        <v>8</v>
      </c>
    </row>
    <row r="11" spans="1:10" ht="27.75" customHeight="1">
      <c r="A11" s="223">
        <v>10</v>
      </c>
      <c r="B11" s="224" t="s">
        <v>155</v>
      </c>
      <c r="C11" s="263" t="s">
        <v>170</v>
      </c>
      <c r="D11" s="226">
        <f>64*(1+1+1+1)+32</f>
        <v>288</v>
      </c>
      <c r="E11" s="239"/>
      <c r="F11" s="232" t="s">
        <v>175</v>
      </c>
      <c r="H11" s="80">
        <f>64*(1+1+1+1)+32</f>
        <v>288</v>
      </c>
      <c r="I11" s="65">
        <f>64*(1+1+1+1)+32</f>
        <v>288</v>
      </c>
      <c r="J11" s="55">
        <f>64*(1+1+1+1)+32</f>
        <v>288</v>
      </c>
    </row>
    <row r="12" spans="1:10" ht="23.25" customHeight="1">
      <c r="A12" s="223">
        <v>11</v>
      </c>
      <c r="B12" s="224" t="s">
        <v>156</v>
      </c>
      <c r="C12" s="263" t="s">
        <v>170</v>
      </c>
      <c r="D12" s="226">
        <v>64</v>
      </c>
      <c r="E12" s="239" t="s">
        <v>107</v>
      </c>
      <c r="F12" s="234"/>
      <c r="H12" s="80">
        <v>64</v>
      </c>
      <c r="I12" s="65">
        <v>64</v>
      </c>
      <c r="J12" s="55">
        <v>64</v>
      </c>
    </row>
    <row r="13" spans="1:10" ht="38.25">
      <c r="A13" s="223">
        <v>12</v>
      </c>
      <c r="B13" s="224" t="s">
        <v>157</v>
      </c>
      <c r="C13" s="263" t="s">
        <v>170</v>
      </c>
      <c r="D13" s="240">
        <f>16*64+2+31+51+64</f>
        <v>1172</v>
      </c>
      <c r="E13" s="224"/>
      <c r="F13" s="232" t="s">
        <v>176</v>
      </c>
      <c r="H13" s="81">
        <f>16*64+2+31+51+64</f>
        <v>1172</v>
      </c>
      <c r="I13" s="64">
        <f>16*64+2+31+51+64</f>
        <v>1172</v>
      </c>
      <c r="J13" s="82">
        <f>16*64+2+31+51+64</f>
        <v>1172</v>
      </c>
    </row>
    <row r="14" spans="1:10" ht="27.75" customHeight="1">
      <c r="A14" s="223">
        <v>13</v>
      </c>
      <c r="B14" s="224" t="s">
        <v>158</v>
      </c>
      <c r="C14" s="263" t="s">
        <v>170</v>
      </c>
      <c r="D14" s="222">
        <f>(49+47+548)*2</f>
        <v>1288</v>
      </c>
      <c r="E14" s="224" t="s">
        <v>108</v>
      </c>
      <c r="F14" s="232" t="s">
        <v>109</v>
      </c>
      <c r="H14" s="83">
        <f>40+45+48+549</f>
        <v>682</v>
      </c>
      <c r="I14" s="62">
        <f>40+45+48+549</f>
        <v>682</v>
      </c>
      <c r="J14" s="84">
        <f>40+45+48+549</f>
        <v>682</v>
      </c>
    </row>
    <row r="15" spans="1:10" ht="27.75" customHeight="1">
      <c r="A15" s="223">
        <v>14</v>
      </c>
      <c r="B15" s="224" t="s">
        <v>159</v>
      </c>
      <c r="C15" s="263" t="s">
        <v>170</v>
      </c>
      <c r="D15" s="241">
        <f>(1545+615+9001)*2</f>
        <v>22322</v>
      </c>
      <c r="E15" s="224" t="s">
        <v>108</v>
      </c>
      <c r="F15" s="232" t="s">
        <v>110</v>
      </c>
      <c r="H15" s="85">
        <f>D15</f>
        <v>22322</v>
      </c>
      <c r="I15" s="63">
        <f>D15</f>
        <v>22322</v>
      </c>
      <c r="J15" s="86">
        <f>D15</f>
        <v>22322</v>
      </c>
    </row>
    <row r="16" spans="1:10" ht="24" customHeight="1">
      <c r="A16" s="223">
        <v>15</v>
      </c>
      <c r="B16" s="224" t="s">
        <v>160</v>
      </c>
      <c r="C16" s="263" t="s">
        <v>170</v>
      </c>
      <c r="D16" s="241">
        <v>1</v>
      </c>
      <c r="E16" s="224" t="s">
        <v>161</v>
      </c>
      <c r="F16" s="227" t="s">
        <v>136</v>
      </c>
      <c r="H16" s="85"/>
      <c r="I16" s="63">
        <v>1</v>
      </c>
      <c r="J16" s="86">
        <v>1</v>
      </c>
    </row>
    <row r="17" spans="1:10" ht="24" customHeight="1">
      <c r="A17" s="223">
        <v>16</v>
      </c>
      <c r="B17" s="224" t="s">
        <v>162</v>
      </c>
      <c r="C17" s="263" t="s">
        <v>170</v>
      </c>
      <c r="D17" s="241">
        <v>1</v>
      </c>
      <c r="E17" s="224" t="s">
        <v>134</v>
      </c>
      <c r="F17" s="227" t="s">
        <v>136</v>
      </c>
      <c r="H17" s="85"/>
      <c r="I17" s="63">
        <v>1</v>
      </c>
      <c r="J17" s="86">
        <v>1</v>
      </c>
    </row>
    <row r="18" spans="1:10" ht="27.75" customHeight="1">
      <c r="A18" s="223">
        <v>17</v>
      </c>
      <c r="B18" s="224" t="s">
        <v>163</v>
      </c>
      <c r="C18" s="263" t="s">
        <v>170</v>
      </c>
      <c r="D18" s="241">
        <v>64</v>
      </c>
      <c r="E18" s="225" t="s">
        <v>135</v>
      </c>
      <c r="F18" s="232" t="s">
        <v>137</v>
      </c>
      <c r="H18" s="85"/>
      <c r="I18" s="63">
        <v>64</v>
      </c>
      <c r="J18" s="86">
        <v>64</v>
      </c>
    </row>
    <row r="19" spans="1:10" ht="27.75" customHeight="1">
      <c r="A19" s="223">
        <v>18</v>
      </c>
      <c r="B19" s="224" t="s">
        <v>164</v>
      </c>
      <c r="C19" s="263" t="s">
        <v>170</v>
      </c>
      <c r="D19" s="241">
        <v>644</v>
      </c>
      <c r="E19" s="225" t="s">
        <v>135</v>
      </c>
      <c r="F19" s="232" t="s">
        <v>138</v>
      </c>
      <c r="H19" s="85"/>
      <c r="I19" s="63">
        <f>40+45+48+549</f>
        <v>682</v>
      </c>
      <c r="J19" s="86">
        <f>40+45+48+549</f>
        <v>682</v>
      </c>
    </row>
    <row r="20" spans="1:10" ht="21" customHeight="1">
      <c r="A20" s="223">
        <v>19</v>
      </c>
      <c r="B20" s="224" t="s">
        <v>165</v>
      </c>
      <c r="C20" s="263" t="s">
        <v>170</v>
      </c>
      <c r="D20" s="241">
        <v>1</v>
      </c>
      <c r="E20" s="225" t="s">
        <v>139</v>
      </c>
      <c r="F20" s="227" t="s">
        <v>136</v>
      </c>
      <c r="H20" s="85"/>
      <c r="I20" s="63">
        <v>1</v>
      </c>
      <c r="J20" s="86">
        <v>1</v>
      </c>
    </row>
    <row r="21" spans="1:10" ht="21" customHeight="1">
      <c r="A21" s="223">
        <v>20</v>
      </c>
      <c r="B21" s="224" t="s">
        <v>166</v>
      </c>
      <c r="C21" s="263" t="s">
        <v>170</v>
      </c>
      <c r="D21" s="241">
        <v>644</v>
      </c>
      <c r="E21" s="225" t="s">
        <v>139</v>
      </c>
      <c r="F21" s="232" t="s">
        <v>140</v>
      </c>
      <c r="H21" s="85"/>
      <c r="I21" s="63">
        <f>40+45+48+549</f>
        <v>682</v>
      </c>
      <c r="J21" s="86">
        <f>40+45+48+549</f>
        <v>682</v>
      </c>
    </row>
    <row r="22" spans="1:10" ht="21" customHeight="1">
      <c r="A22" s="223">
        <v>21</v>
      </c>
      <c r="B22" s="224" t="s">
        <v>167</v>
      </c>
      <c r="C22" s="263" t="s">
        <v>170</v>
      </c>
      <c r="D22" s="241">
        <v>1</v>
      </c>
      <c r="E22" s="224" t="s">
        <v>168</v>
      </c>
      <c r="F22" s="227" t="s">
        <v>136</v>
      </c>
      <c r="H22" s="85"/>
      <c r="I22" s="63">
        <v>1</v>
      </c>
      <c r="J22" s="86">
        <v>1</v>
      </c>
    </row>
    <row r="23" spans="1:10" ht="21" customHeight="1">
      <c r="A23" s="223">
        <v>22</v>
      </c>
      <c r="B23" s="224" t="s">
        <v>172</v>
      </c>
      <c r="C23" s="263" t="s">
        <v>171</v>
      </c>
      <c r="D23" s="222">
        <v>949</v>
      </c>
      <c r="E23" s="242" t="s">
        <v>105</v>
      </c>
      <c r="F23" s="243" t="s">
        <v>106</v>
      </c>
      <c r="H23" s="87"/>
      <c r="I23" s="88"/>
      <c r="J23" s="89">
        <v>1720</v>
      </c>
    </row>
    <row r="24" spans="1:6" ht="21.75" customHeight="1">
      <c r="A24" s="223">
        <v>23</v>
      </c>
      <c r="B24" s="224" t="s">
        <v>132</v>
      </c>
      <c r="C24" s="263" t="s">
        <v>64</v>
      </c>
      <c r="D24" s="231">
        <v>21395</v>
      </c>
      <c r="E24" s="225"/>
      <c r="F24" s="234"/>
    </row>
    <row r="25" spans="1:10" ht="18.75" customHeight="1">
      <c r="A25" s="223"/>
      <c r="B25" s="224"/>
      <c r="C25" s="263"/>
      <c r="D25" s="231"/>
      <c r="E25" s="225"/>
      <c r="F25" s="234"/>
      <c r="H25" s="218"/>
      <c r="I25" s="218"/>
      <c r="J25" s="218"/>
    </row>
    <row r="26" spans="1:6" ht="18.75" customHeight="1">
      <c r="A26" s="223"/>
      <c r="B26" s="257" t="s">
        <v>173</v>
      </c>
      <c r="C26" s="263"/>
      <c r="D26" s="225"/>
      <c r="E26" s="225"/>
      <c r="F26" s="234"/>
    </row>
    <row r="27" spans="1:8" ht="25.5" customHeight="1">
      <c r="A27" s="223">
        <v>24</v>
      </c>
      <c r="B27" s="225" t="s">
        <v>111</v>
      </c>
      <c r="C27" s="258" t="s">
        <v>112</v>
      </c>
      <c r="D27" s="259">
        <v>3584262</v>
      </c>
      <c r="E27" s="224" t="s">
        <v>114</v>
      </c>
      <c r="F27" s="234"/>
      <c r="H27" s="230"/>
    </row>
    <row r="28" spans="1:8" ht="25.5" customHeight="1">
      <c r="A28" s="223">
        <v>25</v>
      </c>
      <c r="B28" s="225" t="s">
        <v>113</v>
      </c>
      <c r="C28" s="263" t="s">
        <v>65</v>
      </c>
      <c r="D28" s="247">
        <f>700695/D27</f>
        <v>0.1954921264126339</v>
      </c>
      <c r="E28" s="224" t="s">
        <v>114</v>
      </c>
      <c r="F28" s="260" t="s">
        <v>122</v>
      </c>
      <c r="H28" s="229">
        <v>700695</v>
      </c>
    </row>
    <row r="29" spans="1:6" ht="25.5" customHeight="1">
      <c r="A29" s="223">
        <v>26</v>
      </c>
      <c r="B29" s="225" t="s">
        <v>116</v>
      </c>
      <c r="C29" s="263" t="s">
        <v>120</v>
      </c>
      <c r="D29" s="237">
        <v>782700</v>
      </c>
      <c r="E29" s="225" t="s">
        <v>117</v>
      </c>
      <c r="F29" s="234"/>
    </row>
    <row r="30" spans="1:6" ht="25.5" customHeight="1">
      <c r="A30" s="223">
        <v>27</v>
      </c>
      <c r="B30" s="261" t="s">
        <v>115</v>
      </c>
      <c r="C30" s="263" t="s">
        <v>65</v>
      </c>
      <c r="D30" s="247">
        <v>0.143</v>
      </c>
      <c r="E30" s="225" t="s">
        <v>117</v>
      </c>
      <c r="F30" s="234"/>
    </row>
    <row r="31" spans="1:6" ht="25.5" customHeight="1">
      <c r="A31" s="223">
        <v>28</v>
      </c>
      <c r="B31" s="225" t="s">
        <v>116</v>
      </c>
      <c r="C31" s="263" t="s">
        <v>120</v>
      </c>
      <c r="D31" s="237">
        <v>1006700</v>
      </c>
      <c r="E31" s="225" t="s">
        <v>117</v>
      </c>
      <c r="F31" s="234"/>
    </row>
    <row r="32" spans="1:6" ht="25.5" customHeight="1">
      <c r="A32" s="223">
        <v>29</v>
      </c>
      <c r="B32" s="262" t="s">
        <v>118</v>
      </c>
      <c r="C32" s="263" t="s">
        <v>65</v>
      </c>
      <c r="D32" s="247">
        <v>0.098</v>
      </c>
      <c r="E32" s="225" t="s">
        <v>117</v>
      </c>
      <c r="F32" s="234"/>
    </row>
    <row r="33" spans="1:6" ht="25.5" customHeight="1">
      <c r="A33" s="223">
        <v>30</v>
      </c>
      <c r="B33" s="262" t="s">
        <v>119</v>
      </c>
      <c r="C33" s="263" t="s">
        <v>120</v>
      </c>
      <c r="D33" s="237">
        <v>98545</v>
      </c>
      <c r="E33" s="225" t="s">
        <v>117</v>
      </c>
      <c r="F33" s="234"/>
    </row>
    <row r="34" spans="1:6" ht="25.5" customHeight="1">
      <c r="A34" s="223">
        <v>31</v>
      </c>
      <c r="B34" s="248" t="s">
        <v>123</v>
      </c>
      <c r="C34" s="263" t="s">
        <v>121</v>
      </c>
      <c r="D34" s="237">
        <v>52207800</v>
      </c>
      <c r="E34" s="224" t="s">
        <v>127</v>
      </c>
      <c r="F34" s="234"/>
    </row>
    <row r="35" spans="1:6" ht="25.5" customHeight="1">
      <c r="A35" s="223">
        <v>32</v>
      </c>
      <c r="B35" s="225" t="s">
        <v>124</v>
      </c>
      <c r="C35" s="263" t="s">
        <v>121</v>
      </c>
      <c r="D35" s="237">
        <v>5330400</v>
      </c>
      <c r="E35" s="224" t="s">
        <v>127</v>
      </c>
      <c r="F35" s="234"/>
    </row>
    <row r="36" spans="1:6" ht="25.5" customHeight="1">
      <c r="A36" s="223">
        <v>33</v>
      </c>
      <c r="B36" s="225" t="s">
        <v>125</v>
      </c>
      <c r="C36" s="263" t="s">
        <v>121</v>
      </c>
      <c r="D36" s="237">
        <v>45091700</v>
      </c>
      <c r="E36" s="224" t="s">
        <v>127</v>
      </c>
      <c r="F36" s="234"/>
    </row>
    <row r="37" spans="1:8" ht="25.5" customHeight="1">
      <c r="A37" s="223">
        <v>34</v>
      </c>
      <c r="B37" s="225" t="s">
        <v>126</v>
      </c>
      <c r="C37" s="263" t="s">
        <v>121</v>
      </c>
      <c r="D37" s="237">
        <v>1785700</v>
      </c>
      <c r="E37" s="224" t="s">
        <v>127</v>
      </c>
      <c r="F37" s="234"/>
      <c r="H37" s="228"/>
    </row>
    <row r="38" spans="1:6" ht="25.5" customHeight="1">
      <c r="A38" s="223">
        <v>35</v>
      </c>
      <c r="B38" s="224" t="s">
        <v>128</v>
      </c>
      <c r="C38" s="263" t="s">
        <v>65</v>
      </c>
      <c r="D38" s="249">
        <v>0.037</v>
      </c>
      <c r="E38" s="225" t="s">
        <v>129</v>
      </c>
      <c r="F38" s="232" t="s">
        <v>130</v>
      </c>
    </row>
    <row r="39" spans="1:6" ht="25.5" customHeight="1">
      <c r="A39" s="223">
        <v>36</v>
      </c>
      <c r="B39" s="120" t="s">
        <v>444</v>
      </c>
      <c r="C39" s="108" t="s">
        <v>169</v>
      </c>
      <c r="D39" s="167">
        <v>88772884</v>
      </c>
      <c r="E39" s="47" t="s">
        <v>445</v>
      </c>
      <c r="F39" s="234"/>
    </row>
    <row r="40" spans="1:6" ht="25.5">
      <c r="A40" s="223">
        <v>37</v>
      </c>
      <c r="B40" s="120" t="s">
        <v>446</v>
      </c>
      <c r="C40" s="108" t="s">
        <v>169</v>
      </c>
      <c r="D40" s="167">
        <v>25374262</v>
      </c>
      <c r="E40" s="47" t="s">
        <v>445</v>
      </c>
      <c r="F40" s="234"/>
    </row>
    <row r="41" spans="1:6" ht="25.5">
      <c r="A41" s="223">
        <v>38</v>
      </c>
      <c r="B41" s="120" t="s">
        <v>447</v>
      </c>
      <c r="C41" s="108" t="s">
        <v>169</v>
      </c>
      <c r="D41" s="167">
        <f>D39*(100%-23.9%)</f>
        <v>67556164.724</v>
      </c>
      <c r="E41" s="47"/>
      <c r="F41" s="234"/>
    </row>
    <row r="42" spans="1:6" ht="25.5">
      <c r="A42" s="223">
        <v>39</v>
      </c>
      <c r="B42" s="120" t="s">
        <v>448</v>
      </c>
      <c r="C42" s="108" t="s">
        <v>169</v>
      </c>
      <c r="D42" s="167">
        <v>60415311</v>
      </c>
      <c r="E42" s="47" t="s">
        <v>449</v>
      </c>
      <c r="F42" s="234"/>
    </row>
    <row r="43" spans="1:6" ht="26.25" thickBot="1">
      <c r="A43" s="606">
        <v>40</v>
      </c>
      <c r="B43" s="607" t="s">
        <v>450</v>
      </c>
      <c r="C43" s="608" t="s">
        <v>65</v>
      </c>
      <c r="D43" s="609">
        <v>0.738</v>
      </c>
      <c r="E43" s="610" t="s">
        <v>449</v>
      </c>
      <c r="F43" s="246"/>
    </row>
  </sheetData>
  <sheetProtection/>
  <printOptions/>
  <pageMargins left="0.2" right="0.2" top="0.87" bottom="0.42" header="0.35" footer="0.17"/>
  <pageSetup horizontalDpi="300" verticalDpi="300" orientation="landscape" paperSize="9" r:id="rId1"/>
  <headerFooter alignWithMargins="0">
    <oddHeader>&amp;C&amp;"Times New Roman,Bold"&amp;14PHỤ LỤC 3: DỮ LIỆU CƠ BẢN ĐỂ TÍNH CHI PHÍ - LỢI ÍCH CHO LUẬT TIẾP CẬN THÔNG TIN</oddHeader>
    <oddFooter>&amp;CTrang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9"/>
  <sheetViews>
    <sheetView zoomScale="125" zoomScaleNormal="125" zoomScalePageLayoutView="125" workbookViewId="0" topLeftCell="A1">
      <pane xSplit="5" ySplit="1" topLeftCell="F28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289" sqref="E289"/>
    </sheetView>
  </sheetViews>
  <sheetFormatPr defaultColWidth="8.8515625" defaultRowHeight="15"/>
  <cols>
    <col min="1" max="1" width="5.421875" style="302" customWidth="1"/>
    <col min="2" max="2" width="4.421875" style="295" customWidth="1"/>
    <col min="3" max="3" width="46.7109375" style="106" bestFit="1" customWidth="1"/>
    <col min="4" max="4" width="10.421875" style="296" bestFit="1" customWidth="1"/>
    <col min="5" max="5" width="16.28125" style="443" bestFit="1" customWidth="1"/>
    <col min="6" max="6" width="15.28125" style="443" bestFit="1" customWidth="1"/>
    <col min="7" max="15" width="15.28125" style="106" bestFit="1" customWidth="1"/>
    <col min="16" max="16" width="33.140625" style="315" customWidth="1"/>
    <col min="17" max="68" width="8.8515625" style="315" customWidth="1"/>
    <col min="69" max="16384" width="8.8515625" style="106" customWidth="1"/>
  </cols>
  <sheetData>
    <row r="1" spans="1:68" s="32" customFormat="1" ht="32.25" customHeight="1" thickBot="1">
      <c r="A1" s="297" t="s">
        <v>415</v>
      </c>
      <c r="B1" s="544"/>
      <c r="C1" s="66" t="s">
        <v>272</v>
      </c>
      <c r="D1" s="66" t="s">
        <v>143</v>
      </c>
      <c r="E1" s="299" t="s">
        <v>255</v>
      </c>
      <c r="F1" s="300" t="s">
        <v>256</v>
      </c>
      <c r="G1" s="300" t="s">
        <v>257</v>
      </c>
      <c r="H1" s="300" t="s">
        <v>258</v>
      </c>
      <c r="I1" s="300" t="s">
        <v>259</v>
      </c>
      <c r="J1" s="300" t="s">
        <v>260</v>
      </c>
      <c r="K1" s="300" t="s">
        <v>261</v>
      </c>
      <c r="L1" s="300" t="s">
        <v>262</v>
      </c>
      <c r="M1" s="300" t="s">
        <v>263</v>
      </c>
      <c r="N1" s="300" t="s">
        <v>264</v>
      </c>
      <c r="O1" s="301" t="s">
        <v>265</v>
      </c>
      <c r="P1" s="302" t="s">
        <v>30</v>
      </c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</row>
    <row r="2" spans="1:68" s="307" customFormat="1" ht="25.5" customHeight="1">
      <c r="A2" s="135" t="s">
        <v>72</v>
      </c>
      <c r="B2" s="695" t="s">
        <v>420</v>
      </c>
      <c r="C2" s="695"/>
      <c r="D2" s="136"/>
      <c r="E2" s="303"/>
      <c r="F2" s="304"/>
      <c r="G2" s="304"/>
      <c r="H2" s="304"/>
      <c r="I2" s="304"/>
      <c r="J2" s="304"/>
      <c r="K2" s="304"/>
      <c r="L2" s="304"/>
      <c r="M2" s="304"/>
      <c r="N2" s="304"/>
      <c r="O2" s="305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</row>
    <row r="3" spans="1:68" s="307" customFormat="1" ht="38.25">
      <c r="A3" s="308"/>
      <c r="B3" s="309"/>
      <c r="C3" s="46" t="s">
        <v>273</v>
      </c>
      <c r="D3" s="57" t="s">
        <v>238</v>
      </c>
      <c r="E3" s="167">
        <f>'Dữ liệu cơ bản'!H7</f>
        <v>30</v>
      </c>
      <c r="F3" s="310"/>
      <c r="G3" s="310"/>
      <c r="H3" s="310"/>
      <c r="I3" s="310"/>
      <c r="J3" s="310"/>
      <c r="K3" s="310"/>
      <c r="L3" s="310"/>
      <c r="M3" s="310"/>
      <c r="N3" s="310"/>
      <c r="O3" s="311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</row>
    <row r="4" spans="1:68" s="307" customFormat="1" ht="25.5">
      <c r="A4" s="308"/>
      <c r="B4" s="309"/>
      <c r="C4" s="46" t="s">
        <v>274</v>
      </c>
      <c r="D4" s="57" t="s">
        <v>238</v>
      </c>
      <c r="E4" s="167">
        <f>'Dữ liệu cơ bản'!H6</f>
        <v>24528</v>
      </c>
      <c r="F4" s="310"/>
      <c r="G4" s="310"/>
      <c r="H4" s="310"/>
      <c r="I4" s="310"/>
      <c r="J4" s="310"/>
      <c r="K4" s="310"/>
      <c r="L4" s="310"/>
      <c r="M4" s="310"/>
      <c r="N4" s="310"/>
      <c r="O4" s="311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</row>
    <row r="5" spans="1:68" s="307" customFormat="1" ht="25.5">
      <c r="A5" s="308"/>
      <c r="B5" s="309"/>
      <c r="C5" s="47" t="s">
        <v>275</v>
      </c>
      <c r="D5" s="58" t="s">
        <v>266</v>
      </c>
      <c r="E5" s="167">
        <f>'Dữ liệu theo hoạt động'!$E$59</f>
        <v>1926</v>
      </c>
      <c r="F5" s="310"/>
      <c r="G5" s="310"/>
      <c r="H5" s="310"/>
      <c r="I5" s="310"/>
      <c r="J5" s="310"/>
      <c r="K5" s="310"/>
      <c r="L5" s="310"/>
      <c r="M5" s="310"/>
      <c r="N5" s="310"/>
      <c r="O5" s="311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</row>
    <row r="6" spans="1:68" s="316" customFormat="1" ht="30" customHeight="1">
      <c r="A6" s="308" t="s">
        <v>72</v>
      </c>
      <c r="B6" s="693" t="s">
        <v>276</v>
      </c>
      <c r="C6" s="693"/>
      <c r="D6" s="312"/>
      <c r="E6" s="313">
        <f>SUM(F6:O6)</f>
        <v>0</v>
      </c>
      <c r="F6" s="313">
        <v>0</v>
      </c>
      <c r="G6" s="313">
        <v>0</v>
      </c>
      <c r="H6" s="313">
        <v>0</v>
      </c>
      <c r="I6" s="313">
        <v>0</v>
      </c>
      <c r="J6" s="313">
        <v>0</v>
      </c>
      <c r="K6" s="313">
        <v>0</v>
      </c>
      <c r="L6" s="313">
        <v>0</v>
      </c>
      <c r="M6" s="313">
        <v>0</v>
      </c>
      <c r="N6" s="313">
        <v>0</v>
      </c>
      <c r="O6" s="314">
        <v>0</v>
      </c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</row>
    <row r="7" spans="1:68" s="316" customFormat="1" ht="28.5" customHeight="1">
      <c r="A7" s="308" t="s">
        <v>72</v>
      </c>
      <c r="B7" s="693" t="s">
        <v>277</v>
      </c>
      <c r="C7" s="693"/>
      <c r="D7" s="312"/>
      <c r="E7" s="313">
        <f>SUM(F7:O7)</f>
        <v>0</v>
      </c>
      <c r="F7" s="313"/>
      <c r="G7" s="313"/>
      <c r="H7" s="313"/>
      <c r="I7" s="313"/>
      <c r="J7" s="313"/>
      <c r="K7" s="313"/>
      <c r="L7" s="313"/>
      <c r="M7" s="313"/>
      <c r="N7" s="313"/>
      <c r="O7" s="314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</row>
    <row r="8" spans="1:68" s="316" customFormat="1" ht="29.25" customHeight="1">
      <c r="A8" s="308" t="s">
        <v>72</v>
      </c>
      <c r="B8" s="693" t="s">
        <v>278</v>
      </c>
      <c r="C8" s="693"/>
      <c r="D8" s="312" t="s">
        <v>86</v>
      </c>
      <c r="E8" s="317">
        <f>SUM(F8:O8)</f>
        <v>432001312.32268715</v>
      </c>
      <c r="F8" s="318">
        <f>E9*E10*E11/1000</f>
        <v>34668000</v>
      </c>
      <c r="G8" s="318">
        <f>F8*(1+'Dữ liệu theo hoạt động'!$E$60)</f>
        <v>36332064</v>
      </c>
      <c r="H8" s="318">
        <f>G8*(1+'Dữ liệu theo hoạt động'!$E$60)</f>
        <v>38076003.072000004</v>
      </c>
      <c r="I8" s="318">
        <f>H8*(1+'Dữ liệu theo hoạt động'!$E$60)</f>
        <v>39903651.21945601</v>
      </c>
      <c r="J8" s="318">
        <f>I8*(1+'Dữ liệu theo hoạt động'!$E$60)</f>
        <v>41819026.4779899</v>
      </c>
      <c r="K8" s="318">
        <f>J8*(1+'Dữ liệu theo hoạt động'!$E$60)</f>
        <v>43826339.74893341</v>
      </c>
      <c r="L8" s="318">
        <f>K8*(1+'Dữ liệu theo hoạt động'!$E$60)</f>
        <v>45930004.05688222</v>
      </c>
      <c r="M8" s="318">
        <f>L8*(1+'Dữ liệu theo hoạt động'!$E$60)</f>
        <v>48134644.25161257</v>
      </c>
      <c r="N8" s="318">
        <f>M8*(1+'Dữ liệu theo hoạt động'!$E$60)</f>
        <v>50445107.17568997</v>
      </c>
      <c r="O8" s="319">
        <f>N8*(1+'Dữ liệu theo hoạt động'!$E$60)</f>
        <v>52866472.32012309</v>
      </c>
      <c r="P8" s="315" t="s">
        <v>387</v>
      </c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</row>
    <row r="9" spans="1:15" ht="25.5">
      <c r="A9" s="308"/>
      <c r="B9" s="506"/>
      <c r="C9" s="46" t="s">
        <v>204</v>
      </c>
      <c r="D9" s="57" t="s">
        <v>69</v>
      </c>
      <c r="E9" s="320">
        <v>0.2</v>
      </c>
      <c r="F9" s="321"/>
      <c r="G9" s="322"/>
      <c r="H9" s="322"/>
      <c r="I9" s="322"/>
      <c r="J9" s="322"/>
      <c r="K9" s="322"/>
      <c r="L9" s="322"/>
      <c r="M9" s="322"/>
      <c r="N9" s="322"/>
      <c r="O9" s="60"/>
    </row>
    <row r="10" spans="1:15" ht="25.5">
      <c r="A10" s="308"/>
      <c r="B10" s="506"/>
      <c r="C10" s="47" t="s">
        <v>202</v>
      </c>
      <c r="D10" s="323" t="s">
        <v>64</v>
      </c>
      <c r="E10" s="324">
        <f>'Dữ liệu theo hoạt động'!$E$13</f>
        <v>90000000</v>
      </c>
      <c r="F10" s="321"/>
      <c r="G10" s="322"/>
      <c r="H10" s="322"/>
      <c r="I10" s="322"/>
      <c r="J10" s="322"/>
      <c r="K10" s="322"/>
      <c r="L10" s="322"/>
      <c r="M10" s="322"/>
      <c r="N10" s="322"/>
      <c r="O10" s="60"/>
    </row>
    <row r="11" spans="1:15" ht="25.5">
      <c r="A11" s="308"/>
      <c r="B11" s="506"/>
      <c r="C11" s="47" t="s">
        <v>243</v>
      </c>
      <c r="D11" s="58" t="s">
        <v>266</v>
      </c>
      <c r="E11" s="167">
        <f>E5</f>
        <v>1926</v>
      </c>
      <c r="F11" s="321"/>
      <c r="G11" s="322"/>
      <c r="H11" s="322"/>
      <c r="I11" s="322"/>
      <c r="J11" s="322"/>
      <c r="K11" s="322"/>
      <c r="L11" s="322"/>
      <c r="M11" s="322"/>
      <c r="N11" s="322"/>
      <c r="O11" s="60"/>
    </row>
    <row r="12" spans="1:68" s="316" customFormat="1" ht="27.75" customHeight="1">
      <c r="A12" s="308" t="s">
        <v>72</v>
      </c>
      <c r="B12" s="693" t="s">
        <v>210</v>
      </c>
      <c r="C12" s="693"/>
      <c r="D12" s="312" t="s">
        <v>86</v>
      </c>
      <c r="E12" s="545">
        <f>SUM(F12:O12)</f>
        <v>1464004447.315773</v>
      </c>
      <c r="F12" s="318">
        <f>(E13+E14)*E15/1000</f>
        <v>117486000</v>
      </c>
      <c r="G12" s="325">
        <f>F12*(1+'Dữ liệu theo hoạt động'!$E$60)</f>
        <v>123125328</v>
      </c>
      <c r="H12" s="325">
        <f>G12*(1+'Dữ liệu theo hoạt động'!$E$60)</f>
        <v>129035343.744</v>
      </c>
      <c r="I12" s="325">
        <f>H12*(1+'Dữ liệu theo hoạt động'!$E$60)</f>
        <v>135229040.243712</v>
      </c>
      <c r="J12" s="325">
        <f>I12*(1+'Dữ liệu theo hoạt động'!$E$60)</f>
        <v>141720034.17541018</v>
      </c>
      <c r="K12" s="325">
        <f>J12*(1+'Dữ liệu theo hoạt động'!$E$60)</f>
        <v>148522595.81582987</v>
      </c>
      <c r="L12" s="325">
        <f>K12*(1+'Dữ liệu theo hoạt động'!$E$60)</f>
        <v>155651680.4149897</v>
      </c>
      <c r="M12" s="325">
        <f>L12*(1+'Dữ liệu theo hoạt động'!$E$60)</f>
        <v>163122961.0749092</v>
      </c>
      <c r="N12" s="325">
        <f>M12*(1+'Dữ liệu theo hoạt động'!$E$60)</f>
        <v>170952863.20650485</v>
      </c>
      <c r="O12" s="326">
        <f>N12*(1+'Dữ liệu theo hoạt động'!$E$60)</f>
        <v>179158600.6404171</v>
      </c>
      <c r="P12" s="315" t="s">
        <v>387</v>
      </c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</row>
    <row r="13" spans="1:15" ht="25.5">
      <c r="A13" s="308"/>
      <c r="B13" s="309"/>
      <c r="C13" s="47" t="s">
        <v>214</v>
      </c>
      <c r="D13" s="323" t="s">
        <v>64</v>
      </c>
      <c r="E13" s="324">
        <f>'Dữ liệu theo hoạt động'!$E$24</f>
        <v>60000000</v>
      </c>
      <c r="F13" s="321" t="s">
        <v>60</v>
      </c>
      <c r="G13" s="327"/>
      <c r="H13" s="322"/>
      <c r="I13" s="322"/>
      <c r="J13" s="322"/>
      <c r="K13" s="322"/>
      <c r="L13" s="322"/>
      <c r="M13" s="322"/>
      <c r="N13" s="322"/>
      <c r="O13" s="60"/>
    </row>
    <row r="14" spans="1:15" ht="25.5">
      <c r="A14" s="308"/>
      <c r="B14" s="309"/>
      <c r="C14" s="47" t="s">
        <v>215</v>
      </c>
      <c r="D14" s="323" t="s">
        <v>64</v>
      </c>
      <c r="E14" s="324">
        <f>'Dữ liệu theo hoạt động'!$E$22</f>
        <v>1000000</v>
      </c>
      <c r="F14" s="321"/>
      <c r="G14" s="327"/>
      <c r="H14" s="322"/>
      <c r="I14" s="322"/>
      <c r="J14" s="322"/>
      <c r="K14" s="322"/>
      <c r="L14" s="322"/>
      <c r="M14" s="322"/>
      <c r="N14" s="322"/>
      <c r="O14" s="60"/>
    </row>
    <row r="15" spans="1:15" ht="25.5">
      <c r="A15" s="308"/>
      <c r="B15" s="309"/>
      <c r="C15" s="47" t="s">
        <v>243</v>
      </c>
      <c r="D15" s="58" t="s">
        <v>88</v>
      </c>
      <c r="E15" s="167">
        <f>'Dữ liệu theo hoạt động'!$E$59</f>
        <v>1926</v>
      </c>
      <c r="F15" s="321"/>
      <c r="G15" s="327"/>
      <c r="H15" s="327"/>
      <c r="I15" s="322"/>
      <c r="J15" s="322"/>
      <c r="K15" s="322"/>
      <c r="L15" s="322"/>
      <c r="M15" s="322"/>
      <c r="N15" s="322"/>
      <c r="O15" s="60"/>
    </row>
    <row r="16" spans="1:68" s="316" customFormat="1" ht="31.5" customHeight="1">
      <c r="A16" s="308" t="s">
        <v>72</v>
      </c>
      <c r="B16" s="693" t="s">
        <v>269</v>
      </c>
      <c r="C16" s="693"/>
      <c r="D16" s="312" t="s">
        <v>86</v>
      </c>
      <c r="E16" s="328">
        <f>SUM(F16:O16)</f>
        <v>2237522188.7621994</v>
      </c>
      <c r="F16" s="313">
        <f>E19*E20*(E21*E23+E22*E24)/1000</f>
        <v>179560610.1818182</v>
      </c>
      <c r="G16" s="329">
        <f>F16*(1+'Dữ liệu theo hoạt động'!$E$60)</f>
        <v>188179519.47054547</v>
      </c>
      <c r="H16" s="329">
        <f>G16*(1+'Dữ liệu theo hoạt động'!$E$60)</f>
        <v>197212136.40513167</v>
      </c>
      <c r="I16" s="329">
        <f>H16*(1+'Dữ liệu theo hoạt động'!$E$60)</f>
        <v>206678318.952578</v>
      </c>
      <c r="J16" s="329">
        <f>I16*(1+'Dữ liệu theo hoạt động'!$E$60)</f>
        <v>216598878.26230177</v>
      </c>
      <c r="K16" s="329">
        <f>J16*(1+'Dữ liệu theo hoạt động'!$E$60)</f>
        <v>226995624.41889226</v>
      </c>
      <c r="L16" s="329">
        <f>K16*(1+'Dữ liệu theo hoạt động'!$E$60)</f>
        <v>237891414.3909991</v>
      </c>
      <c r="M16" s="329">
        <f>L16*(1+'Dữ liệu theo hoạt động'!$E$60)</f>
        <v>249310202.28176707</v>
      </c>
      <c r="N16" s="329">
        <f>M16*(1+'Dữ liệu theo hoạt động'!$E$60)</f>
        <v>261277091.9912919</v>
      </c>
      <c r="O16" s="330">
        <f>N16*(1+'Dữ liệu theo hoạt động'!$E$60)</f>
        <v>273818392.40687394</v>
      </c>
      <c r="P16" s="315" t="s">
        <v>387</v>
      </c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</row>
    <row r="17" spans="1:68" s="316" customFormat="1" ht="38.25">
      <c r="A17" s="308" t="s">
        <v>72</v>
      </c>
      <c r="B17" s="497"/>
      <c r="C17" s="497" t="s">
        <v>279</v>
      </c>
      <c r="D17" s="312" t="s">
        <v>86</v>
      </c>
      <c r="E17" s="328">
        <f>SUM(F17:O17)</f>
        <v>1292494339.2208824</v>
      </c>
      <c r="F17" s="313">
        <f>E19*E20*E21*E23/1000</f>
        <v>103722355.63636363</v>
      </c>
      <c r="G17" s="329">
        <f>F17*(1+'Dữ liệu theo hoạt động'!$E$60)</f>
        <v>108701028.70690909</v>
      </c>
      <c r="H17" s="329">
        <f>G17*(1+'Dữ liệu theo hoạt động'!$E$60)</f>
        <v>113918678.08484073</v>
      </c>
      <c r="I17" s="329">
        <f>H17*(1+'Dữ liệu theo hoạt động'!$E$60)</f>
        <v>119386774.63291308</v>
      </c>
      <c r="J17" s="329">
        <f>I17*(1+'Dữ liệu theo hoạt động'!$E$60)</f>
        <v>125117339.81529291</v>
      </c>
      <c r="K17" s="329">
        <f>J17*(1+'Dữ liệu theo hoạt động'!$E$60)</f>
        <v>131122972.12642698</v>
      </c>
      <c r="L17" s="329">
        <f>K17*(1+'Dữ liệu theo hoạt động'!$E$60)</f>
        <v>137416874.78849548</v>
      </c>
      <c r="M17" s="329">
        <f>L17*(1+'Dữ liệu theo hoạt động'!$E$60)</f>
        <v>144012884.77834326</v>
      </c>
      <c r="N17" s="329">
        <f>M17*(1+'Dữ liệu theo hoạt động'!$E$60)</f>
        <v>150925503.24770373</v>
      </c>
      <c r="O17" s="330">
        <f>N17*(1+'Dữ liệu theo hoạt động'!$E$60)</f>
        <v>158169927.4035935</v>
      </c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</row>
    <row r="18" spans="1:68" s="316" customFormat="1" ht="27" customHeight="1">
      <c r="A18" s="308" t="s">
        <v>72</v>
      </c>
      <c r="B18" s="497"/>
      <c r="C18" s="497" t="s">
        <v>280</v>
      </c>
      <c r="D18" s="312" t="s">
        <v>86</v>
      </c>
      <c r="E18" s="328">
        <f>SUM(F18:O18)</f>
        <v>945027849.5413164</v>
      </c>
      <c r="F18" s="313">
        <f>E19*E20*E22*E24/1000</f>
        <v>75838254.54545455</v>
      </c>
      <c r="G18" s="329">
        <f>F18*(1+'Dữ liệu theo hoạt động'!$E$60)</f>
        <v>79478490.76363637</v>
      </c>
      <c r="H18" s="329">
        <f>G18*(1+'Dữ liệu theo hoạt động'!$E$60)</f>
        <v>83293458.32029091</v>
      </c>
      <c r="I18" s="329">
        <f>H18*(1+'Dữ liệu theo hoạt động'!$E$60)</f>
        <v>87291544.31966488</v>
      </c>
      <c r="J18" s="329">
        <f>I18*(1+'Dữ liệu theo hoạt động'!$E$60)</f>
        <v>91481538.4470088</v>
      </c>
      <c r="K18" s="329">
        <f>J18*(1+'Dữ liệu theo hoạt động'!$E$60)</f>
        <v>95872652.29246522</v>
      </c>
      <c r="L18" s="329">
        <f>K18*(1+'Dữ liệu theo hoạt động'!$E$60)</f>
        <v>100474539.60250355</v>
      </c>
      <c r="M18" s="329">
        <f>L18*(1+'Dữ liệu theo hoạt động'!$E$60)</f>
        <v>105297317.50342372</v>
      </c>
      <c r="N18" s="329">
        <f>M18*(1+'Dữ liệu theo hoạt động'!$E$60)</f>
        <v>110351588.74358806</v>
      </c>
      <c r="O18" s="330">
        <f>N18*(1+'Dữ liệu theo hoạt động'!$E$60)</f>
        <v>115648465.0032803</v>
      </c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</row>
    <row r="19" spans="1:15" ht="27" customHeight="1">
      <c r="A19" s="308"/>
      <c r="B19" s="506"/>
      <c r="C19" s="46" t="s">
        <v>324</v>
      </c>
      <c r="D19" s="57" t="s">
        <v>219</v>
      </c>
      <c r="E19" s="294">
        <f>'Dữ liệu theo hoạt động'!E28*'Dữ liệu cơ bản'!H7+'Dữ liệu cơ bản'!H6*'Dữ liệu theo hoạt động'!E29</f>
        <v>2383488</v>
      </c>
      <c r="F19" s="321"/>
      <c r="G19" s="322"/>
      <c r="H19" s="322"/>
      <c r="I19" s="322"/>
      <c r="J19" s="322"/>
      <c r="K19" s="322"/>
      <c r="L19" s="322"/>
      <c r="M19" s="322"/>
      <c r="N19" s="322"/>
      <c r="O19" s="60"/>
    </row>
    <row r="20" spans="1:15" ht="29.25" customHeight="1">
      <c r="A20" s="308"/>
      <c r="B20" s="506"/>
      <c r="C20" s="46" t="s">
        <v>206</v>
      </c>
      <c r="D20" s="57" t="s">
        <v>281</v>
      </c>
      <c r="E20" s="331">
        <f>'Dữ liệu theo hoạt động'!$E$17</f>
        <v>0.05</v>
      </c>
      <c r="F20" s="321"/>
      <c r="G20" s="322"/>
      <c r="H20" s="322"/>
      <c r="I20" s="322"/>
      <c r="J20" s="322"/>
      <c r="K20" s="322"/>
      <c r="L20" s="322"/>
      <c r="M20" s="322"/>
      <c r="N20" s="322"/>
      <c r="O20" s="60"/>
    </row>
    <row r="21" spans="1:15" ht="25.5">
      <c r="A21" s="138"/>
      <c r="B21" s="309"/>
      <c r="C21" s="47" t="s">
        <v>208</v>
      </c>
      <c r="D21" s="58" t="s">
        <v>180</v>
      </c>
      <c r="E21" s="332">
        <f>'Dữ liệu theo hoạt động'!$E$18</f>
        <v>24</v>
      </c>
      <c r="F21" s="321"/>
      <c r="G21" s="322"/>
      <c r="H21" s="322"/>
      <c r="I21" s="322"/>
      <c r="J21" s="322"/>
      <c r="K21" s="322"/>
      <c r="L21" s="322"/>
      <c r="M21" s="322"/>
      <c r="N21" s="322"/>
      <c r="O21" s="60"/>
    </row>
    <row r="22" spans="1:15" ht="25.5">
      <c r="A22" s="308"/>
      <c r="B22" s="309"/>
      <c r="C22" s="47" t="s">
        <v>282</v>
      </c>
      <c r="D22" s="58" t="s">
        <v>180</v>
      </c>
      <c r="E22" s="332">
        <f>'Dữ liệu theo hoạt động'!$E$19</f>
        <v>16</v>
      </c>
      <c r="F22" s="321"/>
      <c r="G22" s="322"/>
      <c r="H22" s="322"/>
      <c r="I22" s="322"/>
      <c r="J22" s="322"/>
      <c r="K22" s="322"/>
      <c r="L22" s="322"/>
      <c r="M22" s="322"/>
      <c r="N22" s="322"/>
      <c r="O22" s="60"/>
    </row>
    <row r="23" spans="1:15" ht="25.5">
      <c r="A23" s="308"/>
      <c r="B23" s="309"/>
      <c r="C23" s="47" t="s">
        <v>283</v>
      </c>
      <c r="D23" s="323" t="s">
        <v>64</v>
      </c>
      <c r="E23" s="324">
        <f>'Dữ liệu cơ bản'!D3</f>
        <v>36264.204545454544</v>
      </c>
      <c r="F23" s="321"/>
      <c r="G23" s="322"/>
      <c r="H23" s="322"/>
      <c r="I23" s="322"/>
      <c r="J23" s="322"/>
      <c r="K23" s="322"/>
      <c r="L23" s="322"/>
      <c r="M23" s="322"/>
      <c r="N23" s="322"/>
      <c r="O23" s="60"/>
    </row>
    <row r="24" spans="1:15" ht="25.5">
      <c r="A24" s="308"/>
      <c r="B24" s="309"/>
      <c r="C24" s="46" t="s">
        <v>284</v>
      </c>
      <c r="D24" s="323" t="s">
        <v>64</v>
      </c>
      <c r="E24" s="333">
        <f>'Dữ liệu cơ bản'!$D$5</f>
        <v>39772.72727272727</v>
      </c>
      <c r="F24" s="321"/>
      <c r="G24" s="322"/>
      <c r="H24" s="322"/>
      <c r="I24" s="322"/>
      <c r="J24" s="322"/>
      <c r="K24" s="322"/>
      <c r="L24" s="322"/>
      <c r="M24" s="322"/>
      <c r="N24" s="322"/>
      <c r="O24" s="60"/>
    </row>
    <row r="25" spans="1:68" s="316" customFormat="1" ht="27" customHeight="1">
      <c r="A25" s="308" t="s">
        <v>72</v>
      </c>
      <c r="B25" s="701" t="s">
        <v>217</v>
      </c>
      <c r="C25" s="701"/>
      <c r="D25" s="143" t="s">
        <v>86</v>
      </c>
      <c r="E25" s="328">
        <f>SUM(F25:O25)</f>
        <v>27639975218.55669</v>
      </c>
      <c r="F25" s="313">
        <f>E28*(E29*E30+E31*E32)/1000</f>
        <v>1342828022.7272727</v>
      </c>
      <c r="G25" s="313">
        <f aca="true" t="shared" si="0" ref="G25:O25">G28*(G29*G30+G31*G32)/1000</f>
        <v>1548012144.6</v>
      </c>
      <c r="H25" s="313">
        <f t="shared" si="0"/>
        <v>1784548400.2948804</v>
      </c>
      <c r="I25" s="313">
        <f t="shared" si="0"/>
        <v>2057227395.8599384</v>
      </c>
      <c r="J25" s="313">
        <f t="shared" si="0"/>
        <v>2371571741.9473376</v>
      </c>
      <c r="K25" s="313">
        <f t="shared" si="0"/>
        <v>2733947904.1168904</v>
      </c>
      <c r="L25" s="313">
        <f t="shared" si="0"/>
        <v>3151695143.8659525</v>
      </c>
      <c r="M25" s="313">
        <f t="shared" si="0"/>
        <v>3633274161.84867</v>
      </c>
      <c r="N25" s="313">
        <f t="shared" si="0"/>
        <v>4188438453.7791476</v>
      </c>
      <c r="O25" s="314">
        <f t="shared" si="0"/>
        <v>4828431849.516602</v>
      </c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</row>
    <row r="26" spans="1:68" s="316" customFormat="1" ht="38.25">
      <c r="A26" s="308" t="s">
        <v>72</v>
      </c>
      <c r="B26" s="508"/>
      <c r="C26" s="497" t="s">
        <v>285</v>
      </c>
      <c r="D26" s="143" t="s">
        <v>86</v>
      </c>
      <c r="E26" s="328">
        <f>SUM(F26:O26)</f>
        <v>19834927063.552975</v>
      </c>
      <c r="F26" s="313">
        <f>F28*F29*F30/1000</f>
        <v>963636750</v>
      </c>
      <c r="G26" s="313">
        <f>G28*G29*G30/1000</f>
        <v>1110880445.4000003</v>
      </c>
      <c r="H26" s="313">
        <f aca="true" t="shared" si="1" ref="H26:O26">H28*H29*H30/1000</f>
        <v>1280622977.4571202</v>
      </c>
      <c r="I26" s="313">
        <f t="shared" si="1"/>
        <v>1476302168.4125686</v>
      </c>
      <c r="J26" s="313">
        <f t="shared" si="1"/>
        <v>1701881139.7460093</v>
      </c>
      <c r="K26" s="313">
        <f t="shared" si="1"/>
        <v>1961928577.8991997</v>
      </c>
      <c r="L26" s="313">
        <f t="shared" si="1"/>
        <v>2261711264.6021976</v>
      </c>
      <c r="M26" s="313">
        <f t="shared" si="1"/>
        <v>2607300745.8334136</v>
      </c>
      <c r="N26" s="313">
        <f t="shared" si="1"/>
        <v>3005696299.7967596</v>
      </c>
      <c r="O26" s="314">
        <f t="shared" si="1"/>
        <v>3464966694.405705</v>
      </c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</row>
    <row r="27" spans="1:68" s="316" customFormat="1" ht="22.5" customHeight="1">
      <c r="A27" s="308" t="s">
        <v>72</v>
      </c>
      <c r="B27" s="508"/>
      <c r="C27" s="497" t="s">
        <v>361</v>
      </c>
      <c r="D27" s="143" t="s">
        <v>86</v>
      </c>
      <c r="E27" s="328">
        <f>SUM(F27:O27)</f>
        <v>7805048155.003717</v>
      </c>
      <c r="F27" s="313">
        <f>F28*F31*F32/1000</f>
        <v>379191272.7272727</v>
      </c>
      <c r="G27" s="313">
        <f>G28*G31*G32/1000</f>
        <v>437131699.20000005</v>
      </c>
      <c r="H27" s="313">
        <f aca="true" t="shared" si="2" ref="H27:O27">H28*H31*H32/1000</f>
        <v>503925422.8377601</v>
      </c>
      <c r="I27" s="313">
        <f t="shared" si="2"/>
        <v>580925227.44737</v>
      </c>
      <c r="J27" s="313">
        <f t="shared" si="2"/>
        <v>669690602.2013282</v>
      </c>
      <c r="K27" s="313">
        <f t="shared" si="2"/>
        <v>772019326.2176912</v>
      </c>
      <c r="L27" s="313">
        <f t="shared" si="2"/>
        <v>889983879.2637545</v>
      </c>
      <c r="M27" s="313">
        <f t="shared" si="2"/>
        <v>1025973416.0152564</v>
      </c>
      <c r="N27" s="313">
        <f t="shared" si="2"/>
        <v>1182742153.9823875</v>
      </c>
      <c r="O27" s="314">
        <f t="shared" si="2"/>
        <v>1363465155.1108966</v>
      </c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</row>
    <row r="28" spans="1:15" ht="25.5" customHeight="1">
      <c r="A28" s="308"/>
      <c r="B28" s="334"/>
      <c r="C28" s="46" t="s">
        <v>218</v>
      </c>
      <c r="D28" s="57" t="s">
        <v>219</v>
      </c>
      <c r="E28" s="294">
        <f>E19</f>
        <v>2383488</v>
      </c>
      <c r="F28" s="335">
        <f>E28</f>
        <v>2383488</v>
      </c>
      <c r="G28" s="336">
        <f>F28*(1+'Dữ liệu theo hoạt động'!$E$34)</f>
        <v>2621836.8000000003</v>
      </c>
      <c r="H28" s="336">
        <f>G28*(1+'Dữ liệu theo hoạt động'!$E$34)</f>
        <v>2884020.4800000004</v>
      </c>
      <c r="I28" s="336">
        <f>H28*(1+'Dữ liệu theo hoạt động'!$E$34)</f>
        <v>3172422.528000001</v>
      </c>
      <c r="J28" s="336">
        <f>I28*(1+'Dữ liệu theo hoạt động'!$E$34)</f>
        <v>3489664.780800001</v>
      </c>
      <c r="K28" s="336">
        <f>J28*(1+'Dữ liệu theo hoạt động'!$E$34)</f>
        <v>3838631.2588800015</v>
      </c>
      <c r="L28" s="336">
        <f>K28*(1+'Dữ liệu theo hoạt động'!$E$34)</f>
        <v>4222494.384768002</v>
      </c>
      <c r="M28" s="336">
        <f>L28*(1+'Dữ liệu theo hoạt động'!$E$34)</f>
        <v>4644743.823244803</v>
      </c>
      <c r="N28" s="336">
        <f>M28*(1+'Dữ liệu theo hoạt động'!$E$34)</f>
        <v>5109218.205569283</v>
      </c>
      <c r="O28" s="337">
        <f>N28*(1+'Dữ liệu theo hoạt động'!$E$34)</f>
        <v>5620140.0261262115</v>
      </c>
    </row>
    <row r="29" spans="1:16" ht="27" customHeight="1">
      <c r="A29" s="308"/>
      <c r="B29" s="309"/>
      <c r="C29" s="47" t="s">
        <v>220</v>
      </c>
      <c r="D29" s="58" t="s">
        <v>180</v>
      </c>
      <c r="E29" s="321">
        <f>'Dữ liệu theo hoạt động'!$E$30</f>
        <v>15</v>
      </c>
      <c r="F29" s="321">
        <f>E29</f>
        <v>15</v>
      </c>
      <c r="G29" s="321">
        <f>F29</f>
        <v>15</v>
      </c>
      <c r="H29" s="321">
        <f aca="true" t="shared" si="3" ref="H29:O29">G29</f>
        <v>15</v>
      </c>
      <c r="I29" s="321">
        <f t="shared" si="3"/>
        <v>15</v>
      </c>
      <c r="J29" s="321">
        <f t="shared" si="3"/>
        <v>15</v>
      </c>
      <c r="K29" s="321">
        <f t="shared" si="3"/>
        <v>15</v>
      </c>
      <c r="L29" s="321">
        <f t="shared" si="3"/>
        <v>15</v>
      </c>
      <c r="M29" s="321">
        <f t="shared" si="3"/>
        <v>15</v>
      </c>
      <c r="N29" s="321">
        <f t="shared" si="3"/>
        <v>15</v>
      </c>
      <c r="O29" s="338">
        <f t="shared" si="3"/>
        <v>15</v>
      </c>
      <c r="P29" s="533"/>
    </row>
    <row r="30" spans="1:16" ht="25.5">
      <c r="A30" s="308"/>
      <c r="B30" s="309"/>
      <c r="C30" s="47" t="s">
        <v>286</v>
      </c>
      <c r="D30" s="58" t="s">
        <v>64</v>
      </c>
      <c r="E30" s="321">
        <f>'Dữ liệu cơ bản'!$D$2</f>
        <v>26953.125</v>
      </c>
      <c r="F30" s="321">
        <f>E30</f>
        <v>26953.125</v>
      </c>
      <c r="G30" s="321">
        <f>F30*(1+'Dữ liệu theo hoạt động'!$E$60)</f>
        <v>28246.875</v>
      </c>
      <c r="H30" s="321">
        <f>G30*(1+'Dữ liệu theo hoạt động'!$E$60)</f>
        <v>29602.725000000002</v>
      </c>
      <c r="I30" s="321">
        <f>H30*(1+'Dữ liệu theo hoạt động'!$E$60)</f>
        <v>31023.655800000004</v>
      </c>
      <c r="J30" s="321">
        <f>I30*(1+'Dữ liệu theo hoạt động'!$E$60)</f>
        <v>32512.791278400007</v>
      </c>
      <c r="K30" s="321">
        <f>J30*(1+'Dữ liệu theo hoạt động'!$E$60)</f>
        <v>34073.40525976321</v>
      </c>
      <c r="L30" s="321">
        <f>K30*(1+'Dữ liệu theo hoạt động'!$E$60)</f>
        <v>35708.92871223185</v>
      </c>
      <c r="M30" s="321">
        <f>L30*(1+'Dữ liệu theo hoạt động'!$E$60)</f>
        <v>37422.95729041898</v>
      </c>
      <c r="N30" s="321">
        <f>M30*(1+'Dữ liệu theo hoạt động'!$E$60)</f>
        <v>39219.25924035909</v>
      </c>
      <c r="O30" s="338">
        <f>N30*(1+'Dữ liệu theo hoạt động'!$E$60)</f>
        <v>41101.78368389633</v>
      </c>
      <c r="P30" s="106" t="s">
        <v>387</v>
      </c>
    </row>
    <row r="31" spans="1:15" ht="25.5">
      <c r="A31" s="308"/>
      <c r="B31" s="309"/>
      <c r="C31" s="47" t="s">
        <v>306</v>
      </c>
      <c r="D31" s="58" t="s">
        <v>180</v>
      </c>
      <c r="E31" s="321">
        <f>'Dữ liệu theo hoạt động'!$E$32</f>
        <v>4</v>
      </c>
      <c r="F31" s="321">
        <f>E31</f>
        <v>4</v>
      </c>
      <c r="G31" s="321">
        <f aca="true" t="shared" si="4" ref="G31:O31">F31</f>
        <v>4</v>
      </c>
      <c r="H31" s="321">
        <f t="shared" si="4"/>
        <v>4</v>
      </c>
      <c r="I31" s="321">
        <f t="shared" si="4"/>
        <v>4</v>
      </c>
      <c r="J31" s="321">
        <f t="shared" si="4"/>
        <v>4</v>
      </c>
      <c r="K31" s="321">
        <f t="shared" si="4"/>
        <v>4</v>
      </c>
      <c r="L31" s="321">
        <f t="shared" si="4"/>
        <v>4</v>
      </c>
      <c r="M31" s="321">
        <f t="shared" si="4"/>
        <v>4</v>
      </c>
      <c r="N31" s="321">
        <f t="shared" si="4"/>
        <v>4</v>
      </c>
      <c r="O31" s="338">
        <f t="shared" si="4"/>
        <v>4</v>
      </c>
    </row>
    <row r="32" spans="1:16" ht="30" customHeight="1">
      <c r="A32" s="138"/>
      <c r="B32" s="309"/>
      <c r="C32" s="46" t="s">
        <v>222</v>
      </c>
      <c r="D32" s="58" t="s">
        <v>64</v>
      </c>
      <c r="E32" s="321">
        <f>'Dữ liệu cơ bản'!$D$5</f>
        <v>39772.72727272727</v>
      </c>
      <c r="F32" s="321">
        <f>E32</f>
        <v>39772.72727272727</v>
      </c>
      <c r="G32" s="321">
        <f>F32*(1+'Dữ liệu theo hoạt động'!$E$60)</f>
        <v>41681.818181818184</v>
      </c>
      <c r="H32" s="321">
        <f>G32*(1+'Dữ liệu theo hoạt động'!$E$60)</f>
        <v>43682.545454545456</v>
      </c>
      <c r="I32" s="321">
        <f>H32*(1+'Dữ liệu theo hoạt động'!$E$60)</f>
        <v>45779.30763636364</v>
      </c>
      <c r="J32" s="321">
        <f>I32*(1+'Dữ liệu theo hoạt động'!$E$60)</f>
        <v>47976.7144029091</v>
      </c>
      <c r="K32" s="321">
        <f>J32*(1+'Dữ liệu theo hoạt động'!$E$60)</f>
        <v>50279.596694248736</v>
      </c>
      <c r="L32" s="321">
        <f>K32*(1+'Dữ liệu theo hoạt động'!$E$60)</f>
        <v>52693.01733557268</v>
      </c>
      <c r="M32" s="321">
        <f>L32*(1+'Dữ liệu theo hoạt động'!$E$60)</f>
        <v>55222.28216768017</v>
      </c>
      <c r="N32" s="321">
        <f>M32*(1+'Dữ liệu theo hoạt động'!$E$60)</f>
        <v>57872.95171172882</v>
      </c>
      <c r="O32" s="338">
        <f>N32*(1+'Dữ liệu theo hoạt động'!$E$60)</f>
        <v>60650.853393891804</v>
      </c>
      <c r="P32" s="106" t="s">
        <v>387</v>
      </c>
    </row>
    <row r="33" spans="1:68" s="316" customFormat="1" ht="33" customHeight="1">
      <c r="A33" s="308" t="s">
        <v>72</v>
      </c>
      <c r="B33" s="700" t="s">
        <v>287</v>
      </c>
      <c r="C33" s="700"/>
      <c r="D33" s="312" t="s">
        <v>64</v>
      </c>
      <c r="E33" s="317">
        <v>0</v>
      </c>
      <c r="F33" s="313">
        <v>0</v>
      </c>
      <c r="G33" s="313">
        <v>0</v>
      </c>
      <c r="H33" s="313">
        <v>0</v>
      </c>
      <c r="I33" s="313">
        <v>0</v>
      </c>
      <c r="J33" s="313">
        <v>0</v>
      </c>
      <c r="K33" s="313">
        <v>0</v>
      </c>
      <c r="L33" s="313">
        <v>0</v>
      </c>
      <c r="M33" s="313">
        <v>0</v>
      </c>
      <c r="N33" s="313">
        <v>0</v>
      </c>
      <c r="O33" s="314">
        <v>0</v>
      </c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</row>
    <row r="34" spans="1:15" ht="36" customHeight="1" thickBot="1">
      <c r="A34" s="339" t="s">
        <v>72</v>
      </c>
      <c r="B34" s="666" t="s">
        <v>288</v>
      </c>
      <c r="C34" s="666"/>
      <c r="D34" s="139" t="s">
        <v>64</v>
      </c>
      <c r="E34" s="340">
        <v>0</v>
      </c>
      <c r="F34" s="341">
        <v>0</v>
      </c>
      <c r="G34" s="341">
        <v>0</v>
      </c>
      <c r="H34" s="341">
        <v>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2">
        <v>0</v>
      </c>
    </row>
    <row r="35" spans="1:16" s="315" customFormat="1" ht="30.75" customHeight="1">
      <c r="A35" s="343" t="s">
        <v>72</v>
      </c>
      <c r="B35" s="698" t="s">
        <v>267</v>
      </c>
      <c r="C35" s="698"/>
      <c r="D35" s="514" t="s">
        <v>86</v>
      </c>
      <c r="E35" s="344">
        <f>SUM(F35:O35)</f>
        <v>31773503166.95735</v>
      </c>
      <c r="F35" s="344">
        <f aca="true" t="shared" si="5" ref="F35:O35">F6+F7+F8+F12+F16+F25+F33+F34</f>
        <v>1674542632.909091</v>
      </c>
      <c r="G35" s="344">
        <f t="shared" si="5"/>
        <v>1895649056.0705454</v>
      </c>
      <c r="H35" s="344">
        <f t="shared" si="5"/>
        <v>2148871883.516012</v>
      </c>
      <c r="I35" s="344">
        <f t="shared" si="5"/>
        <v>2439038406.2756844</v>
      </c>
      <c r="J35" s="344">
        <f t="shared" si="5"/>
        <v>2771709680.8630395</v>
      </c>
      <c r="K35" s="344">
        <f t="shared" si="5"/>
        <v>3153292464.100546</v>
      </c>
      <c r="L35" s="344">
        <f t="shared" si="5"/>
        <v>3591168242.7288237</v>
      </c>
      <c r="M35" s="344">
        <f t="shared" si="5"/>
        <v>4093841969.456959</v>
      </c>
      <c r="N35" s="344">
        <f t="shared" si="5"/>
        <v>4671113516.152635</v>
      </c>
      <c r="O35" s="345">
        <f t="shared" si="5"/>
        <v>5334275314.884016</v>
      </c>
      <c r="P35" s="346"/>
    </row>
    <row r="36" spans="1:16" s="315" customFormat="1" ht="30.75" customHeight="1">
      <c r="A36" s="308" t="s">
        <v>72</v>
      </c>
      <c r="B36" s="507"/>
      <c r="C36" s="137" t="s">
        <v>289</v>
      </c>
      <c r="D36" s="137" t="s">
        <v>89</v>
      </c>
      <c r="E36" s="347">
        <f>SUM(F36:O36)</f>
        <v>23023427162.41232</v>
      </c>
      <c r="F36" s="348">
        <f aca="true" t="shared" si="6" ref="F36:O36">F6+F7+F8+F12+F17+F26+F33+F34</f>
        <v>1219513105.6363635</v>
      </c>
      <c r="G36" s="348">
        <f t="shared" si="6"/>
        <v>1379038866.1069095</v>
      </c>
      <c r="H36" s="348">
        <f t="shared" si="6"/>
        <v>1561653002.357961</v>
      </c>
      <c r="I36" s="348">
        <f t="shared" si="6"/>
        <v>1770821634.5086498</v>
      </c>
      <c r="J36" s="348">
        <f t="shared" si="6"/>
        <v>2010537540.2147024</v>
      </c>
      <c r="K36" s="348">
        <f t="shared" si="6"/>
        <v>2285400485.59039</v>
      </c>
      <c r="L36" s="348">
        <f t="shared" si="6"/>
        <v>2600709823.862565</v>
      </c>
      <c r="M36" s="348">
        <f t="shared" si="6"/>
        <v>2962571235.9382787</v>
      </c>
      <c r="N36" s="348">
        <f t="shared" si="6"/>
        <v>3378019773.426658</v>
      </c>
      <c r="O36" s="349">
        <f t="shared" si="6"/>
        <v>3855161694.769839</v>
      </c>
      <c r="P36" s="346"/>
    </row>
    <row r="37" spans="1:16" s="315" customFormat="1" ht="30.75" customHeight="1">
      <c r="A37" s="339" t="s">
        <v>72</v>
      </c>
      <c r="B37" s="501"/>
      <c r="C37" s="140" t="s">
        <v>338</v>
      </c>
      <c r="D37" s="140" t="s">
        <v>89</v>
      </c>
      <c r="E37" s="347">
        <f>SUM(F37:O37)</f>
        <v>8750076004.545033</v>
      </c>
      <c r="F37" s="350">
        <f aca="true" t="shared" si="7" ref="F37:O37">F18+F27</f>
        <v>455029527.27272725</v>
      </c>
      <c r="G37" s="350">
        <f t="shared" si="7"/>
        <v>516610189.9636364</v>
      </c>
      <c r="H37" s="350">
        <f t="shared" si="7"/>
        <v>587218881.158051</v>
      </c>
      <c r="I37" s="350">
        <f t="shared" si="7"/>
        <v>668216771.7670349</v>
      </c>
      <c r="J37" s="350">
        <f t="shared" si="7"/>
        <v>761172140.648337</v>
      </c>
      <c r="K37" s="350">
        <f t="shared" si="7"/>
        <v>867891978.5101564</v>
      </c>
      <c r="L37" s="350">
        <f t="shared" si="7"/>
        <v>990458418.866258</v>
      </c>
      <c r="M37" s="350">
        <f t="shared" si="7"/>
        <v>1131270733.51868</v>
      </c>
      <c r="N37" s="350">
        <f t="shared" si="7"/>
        <v>1293093742.7259755</v>
      </c>
      <c r="O37" s="351">
        <f t="shared" si="7"/>
        <v>1479113620.114177</v>
      </c>
      <c r="P37" s="346"/>
    </row>
    <row r="38" spans="1:16" s="315" customFormat="1" ht="30.75" customHeight="1" thickBot="1">
      <c r="A38" s="352" t="s">
        <v>480</v>
      </c>
      <c r="B38" s="141"/>
      <c r="C38" s="142" t="s">
        <v>290</v>
      </c>
      <c r="D38" s="141" t="s">
        <v>89</v>
      </c>
      <c r="E38" s="353">
        <f aca="true" t="shared" si="8" ref="E38:O38">E8+E12</f>
        <v>1896005759.6384602</v>
      </c>
      <c r="F38" s="353">
        <f t="shared" si="8"/>
        <v>152154000</v>
      </c>
      <c r="G38" s="353">
        <f t="shared" si="8"/>
        <v>159457392</v>
      </c>
      <c r="H38" s="353">
        <f t="shared" si="8"/>
        <v>167111346.816</v>
      </c>
      <c r="I38" s="353">
        <f t="shared" si="8"/>
        <v>175132691.46316803</v>
      </c>
      <c r="J38" s="353">
        <f t="shared" si="8"/>
        <v>183539060.65340006</v>
      </c>
      <c r="K38" s="353">
        <f t="shared" si="8"/>
        <v>192348935.56476328</v>
      </c>
      <c r="L38" s="353">
        <f t="shared" si="8"/>
        <v>201581684.4718719</v>
      </c>
      <c r="M38" s="353">
        <f t="shared" si="8"/>
        <v>211257605.32652178</v>
      </c>
      <c r="N38" s="353">
        <f t="shared" si="8"/>
        <v>221397970.38219482</v>
      </c>
      <c r="O38" s="546">
        <f t="shared" si="8"/>
        <v>232025072.96054018</v>
      </c>
      <c r="P38" s="346"/>
    </row>
    <row r="39" spans="1:15" ht="42" customHeight="1" thickTop="1">
      <c r="A39" s="354" t="s">
        <v>61</v>
      </c>
      <c r="B39" s="699" t="s">
        <v>421</v>
      </c>
      <c r="C39" s="699"/>
      <c r="D39" s="134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6"/>
    </row>
    <row r="40" spans="1:15" ht="30.75" customHeight="1">
      <c r="A40" s="357"/>
      <c r="B40" s="76"/>
      <c r="C40" s="46" t="s">
        <v>291</v>
      </c>
      <c r="D40" s="57" t="s">
        <v>238</v>
      </c>
      <c r="E40" s="78">
        <f>'Dữ liệu cơ bản'!H7</f>
        <v>30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7"/>
    </row>
    <row r="41" spans="1:15" ht="25.5">
      <c r="A41" s="357"/>
      <c r="B41" s="76"/>
      <c r="C41" s="46" t="s">
        <v>293</v>
      </c>
      <c r="D41" s="57" t="s">
        <v>238</v>
      </c>
      <c r="E41" s="336">
        <f>'Dữ liệu cơ bản'!H6</f>
        <v>24528</v>
      </c>
      <c r="F41" s="336"/>
      <c r="G41" s="336"/>
      <c r="H41" s="336"/>
      <c r="I41" s="336"/>
      <c r="J41" s="336"/>
      <c r="K41" s="336"/>
      <c r="L41" s="336"/>
      <c r="M41" s="336"/>
      <c r="N41" s="336"/>
      <c r="O41" s="337"/>
    </row>
    <row r="42" spans="1:15" ht="25.5">
      <c r="A42" s="357"/>
      <c r="B42" s="498"/>
      <c r="C42" s="47" t="s">
        <v>243</v>
      </c>
      <c r="D42" s="58" t="s">
        <v>88</v>
      </c>
      <c r="E42" s="167">
        <f>'Dữ liệu theo hoạt động'!$E$59</f>
        <v>1926</v>
      </c>
      <c r="F42" s="336"/>
      <c r="G42" s="336"/>
      <c r="H42" s="336"/>
      <c r="I42" s="336"/>
      <c r="J42" s="336"/>
      <c r="K42" s="336"/>
      <c r="L42" s="336"/>
      <c r="M42" s="336"/>
      <c r="N42" s="336"/>
      <c r="O42" s="337"/>
    </row>
    <row r="43" spans="1:16" ht="30.75" customHeight="1">
      <c r="A43" s="358" t="s">
        <v>61</v>
      </c>
      <c r="B43" s="690" t="s">
        <v>294</v>
      </c>
      <c r="C43" s="690"/>
      <c r="D43" s="359" t="s">
        <v>89</v>
      </c>
      <c r="E43" s="375">
        <f>SUM(F43:O43)</f>
        <v>3375227580.28399</v>
      </c>
      <c r="F43" s="360">
        <f>E44*E45*(E47-E46)/1000</f>
        <v>270861190.5</v>
      </c>
      <c r="G43" s="360">
        <f>F43*(1+'Dữ liệu theo hoạt động'!$E$60)</f>
        <v>283862527.644</v>
      </c>
      <c r="H43" s="360">
        <f>G43*(1+'Dữ liệu theo hoạt động'!$E$60)</f>
        <v>297487928.970912</v>
      </c>
      <c r="I43" s="360">
        <f>H43*(1+'Dữ liệu theo hoạt động'!$E$60)</f>
        <v>311767349.56151575</v>
      </c>
      <c r="J43" s="360">
        <f>I43*(1+'Dữ liệu theo hoạt động'!$E$60)</f>
        <v>326732182.3404685</v>
      </c>
      <c r="K43" s="360">
        <f>J43*(1+'Dữ liệu theo hoạt động'!$E$60)</f>
        <v>342415327.09281105</v>
      </c>
      <c r="L43" s="360">
        <f>K43*(1+'Dữ liệu theo hoạt động'!$E$60)</f>
        <v>358851262.793266</v>
      </c>
      <c r="M43" s="360">
        <f>L43*(1+'Dữ liệu theo hoạt động'!$E$60)</f>
        <v>376076123.4073428</v>
      </c>
      <c r="N43" s="360">
        <f>M43*(1+'Dữ liệu theo hoạt động'!$E$60)</f>
        <v>394127777.33089525</v>
      </c>
      <c r="O43" s="361">
        <f>N43*(1+'Dữ liệu theo hoạt động'!$E$60)</f>
        <v>413045910.6427782</v>
      </c>
      <c r="P43" s="106" t="s">
        <v>387</v>
      </c>
    </row>
    <row r="44" spans="1:15" ht="28.5" customHeight="1">
      <c r="A44" s="357"/>
      <c r="B44" s="309"/>
      <c r="C44" s="46" t="s">
        <v>295</v>
      </c>
      <c r="D44" s="57" t="s">
        <v>319</v>
      </c>
      <c r="E44" s="333">
        <f>'Dữ liệu theo hoạt động'!$E$5</f>
        <v>10</v>
      </c>
      <c r="F44" s="336"/>
      <c r="G44" s="336"/>
      <c r="H44" s="336"/>
      <c r="I44" s="336"/>
      <c r="J44" s="336"/>
      <c r="K44" s="336"/>
      <c r="L44" s="336"/>
      <c r="M44" s="336"/>
      <c r="N44" s="336"/>
      <c r="O44" s="337"/>
    </row>
    <row r="45" spans="1:15" ht="25.5">
      <c r="A45" s="357"/>
      <c r="B45" s="309"/>
      <c r="C45" s="47" t="s">
        <v>296</v>
      </c>
      <c r="D45" s="58" t="s">
        <v>64</v>
      </c>
      <c r="E45" s="324">
        <f>'Dữ liệu theo hoạt động'!$E$6</f>
        <v>1196806.25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7"/>
    </row>
    <row r="46" spans="1:15" ht="25.5">
      <c r="A46" s="357"/>
      <c r="B46" s="309"/>
      <c r="C46" s="47" t="s">
        <v>243</v>
      </c>
      <c r="D46" s="58" t="s">
        <v>88</v>
      </c>
      <c r="E46" s="167">
        <f>$E$42</f>
        <v>1926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7"/>
    </row>
    <row r="47" spans="1:15" ht="25.5">
      <c r="A47" s="357"/>
      <c r="B47" s="309"/>
      <c r="C47" s="46" t="s">
        <v>297</v>
      </c>
      <c r="D47" s="57" t="s">
        <v>238</v>
      </c>
      <c r="E47" s="99">
        <f>E40+E41</f>
        <v>24558</v>
      </c>
      <c r="F47" s="336"/>
      <c r="G47" s="336"/>
      <c r="H47" s="336"/>
      <c r="I47" s="336"/>
      <c r="J47" s="336"/>
      <c r="K47" s="336"/>
      <c r="L47" s="336"/>
      <c r="M47" s="336"/>
      <c r="N47" s="336"/>
      <c r="O47" s="337"/>
    </row>
    <row r="48" spans="1:15" ht="30.75" customHeight="1">
      <c r="A48" s="357" t="s">
        <v>61</v>
      </c>
      <c r="B48" s="690" t="s">
        <v>195</v>
      </c>
      <c r="C48" s="690"/>
      <c r="D48" s="359" t="s">
        <v>89</v>
      </c>
      <c r="E48" s="362">
        <f>SUM(F48:O48)</f>
        <v>2043298500</v>
      </c>
      <c r="F48" s="360">
        <f>E50*E51/1000+E49</f>
        <v>2043298500</v>
      </c>
      <c r="G48" s="360">
        <v>0</v>
      </c>
      <c r="H48" s="360">
        <v>0</v>
      </c>
      <c r="I48" s="360">
        <v>0</v>
      </c>
      <c r="J48" s="360">
        <v>0</v>
      </c>
      <c r="K48" s="360">
        <v>0</v>
      </c>
      <c r="L48" s="360">
        <v>0</v>
      </c>
      <c r="M48" s="360">
        <v>0</v>
      </c>
      <c r="N48" s="360">
        <v>0</v>
      </c>
      <c r="O48" s="361">
        <v>0</v>
      </c>
    </row>
    <row r="49" spans="1:15" ht="30.75" customHeight="1">
      <c r="A49" s="357"/>
      <c r="B49" s="119"/>
      <c r="C49" s="120" t="s">
        <v>298</v>
      </c>
      <c r="D49" s="363" t="s">
        <v>87</v>
      </c>
      <c r="E49" s="364">
        <f>100000*3*'Dữ liệu cơ bản'!$D$24/1000</f>
        <v>6418500</v>
      </c>
      <c r="F49" s="336"/>
      <c r="G49" s="336"/>
      <c r="H49" s="336"/>
      <c r="I49" s="336"/>
      <c r="J49" s="336"/>
      <c r="K49" s="336"/>
      <c r="L49" s="336"/>
      <c r="M49" s="336"/>
      <c r="N49" s="336"/>
      <c r="O49" s="337"/>
    </row>
    <row r="50" spans="1:15" ht="25.5">
      <c r="A50" s="357"/>
      <c r="B50" s="498"/>
      <c r="C50" s="47" t="s">
        <v>202</v>
      </c>
      <c r="D50" s="58" t="s">
        <v>64</v>
      </c>
      <c r="E50" s="324">
        <f>'Dữ liệu theo hoạt động'!$E$13</f>
        <v>90000000</v>
      </c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  <row r="51" spans="1:15" ht="25.5">
      <c r="A51" s="357"/>
      <c r="B51" s="498"/>
      <c r="C51" s="47" t="s">
        <v>299</v>
      </c>
      <c r="D51" s="58" t="s">
        <v>65</v>
      </c>
      <c r="E51" s="365">
        <f>E41+E40-E42</f>
        <v>22632</v>
      </c>
      <c r="F51" s="336"/>
      <c r="G51" s="336"/>
      <c r="H51" s="336"/>
      <c r="I51" s="336"/>
      <c r="J51" s="336"/>
      <c r="K51" s="336"/>
      <c r="L51" s="336"/>
      <c r="M51" s="336"/>
      <c r="N51" s="336"/>
      <c r="O51" s="337"/>
    </row>
    <row r="52" spans="1:16" ht="30.75" customHeight="1">
      <c r="A52" s="357" t="s">
        <v>61</v>
      </c>
      <c r="B52" s="690" t="s">
        <v>203</v>
      </c>
      <c r="C52" s="690"/>
      <c r="D52" s="359" t="s">
        <v>89</v>
      </c>
      <c r="E52" s="362">
        <f>SUM(F52:O52)</f>
        <v>5508353181.734451</v>
      </c>
      <c r="F52" s="360">
        <f>E53*E54*E55/1000</f>
        <v>442044000</v>
      </c>
      <c r="G52" s="360">
        <f>F52*(1+'Dữ liệu theo hoạt động'!$E$60)</f>
        <v>463262112</v>
      </c>
      <c r="H52" s="360">
        <f>G52*(1+'Dữ liệu theo hoạt động'!$E$60)</f>
        <v>485498693.37600005</v>
      </c>
      <c r="I52" s="360">
        <f>H52*(1+'Dữ liệu theo hoạt động'!$E$60)</f>
        <v>508802630.6580481</v>
      </c>
      <c r="J52" s="360">
        <f>I52*(1+'Dữ liệu theo hoạt động'!$E$60)</f>
        <v>533225156.92963445</v>
      </c>
      <c r="K52" s="360">
        <f>J52*(1+'Dữ liệu theo hoạt động'!$E$60)</f>
        <v>558819964.4622569</v>
      </c>
      <c r="L52" s="360">
        <f>K52*(1+'Dữ liệu theo hoạt động'!$E$60)</f>
        <v>585643322.7564453</v>
      </c>
      <c r="M52" s="360">
        <f>L52*(1+'Dữ liệu theo hoạt động'!$E$60)</f>
        <v>613754202.2487547</v>
      </c>
      <c r="N52" s="360">
        <f>M52*(1+'Dữ liệu theo hoạt động'!$E$60)</f>
        <v>643214403.956695</v>
      </c>
      <c r="O52" s="361">
        <f>N52*(1+'Dữ liệu theo hoạt động'!$E$60)</f>
        <v>674088695.3466164</v>
      </c>
      <c r="P52" s="106" t="s">
        <v>387</v>
      </c>
    </row>
    <row r="53" spans="1:15" ht="25.5">
      <c r="A53" s="357"/>
      <c r="B53" s="506"/>
      <c r="C53" s="46" t="s">
        <v>204</v>
      </c>
      <c r="D53" s="57" t="s">
        <v>69</v>
      </c>
      <c r="E53" s="320">
        <f>'Dữ liệu theo hoạt động'!$E$15</f>
        <v>0.2</v>
      </c>
      <c r="F53" s="336"/>
      <c r="G53" s="336"/>
      <c r="H53" s="336"/>
      <c r="I53" s="336"/>
      <c r="J53" s="336"/>
      <c r="K53" s="336"/>
      <c r="L53" s="336"/>
      <c r="M53" s="336"/>
      <c r="N53" s="336"/>
      <c r="O53" s="337"/>
    </row>
    <row r="54" spans="1:15" ht="25.5">
      <c r="A54" s="357"/>
      <c r="B54" s="498"/>
      <c r="C54" s="47" t="s">
        <v>202</v>
      </c>
      <c r="D54" s="323" t="s">
        <v>64</v>
      </c>
      <c r="E54" s="324">
        <f>'Dữ liệu theo hoạt động'!$E$13</f>
        <v>90000000</v>
      </c>
      <c r="F54" s="336"/>
      <c r="G54" s="336"/>
      <c r="H54" s="336"/>
      <c r="I54" s="336"/>
      <c r="J54" s="336"/>
      <c r="K54" s="336"/>
      <c r="L54" s="336"/>
      <c r="M54" s="336"/>
      <c r="N54" s="336"/>
      <c r="O54" s="337"/>
    </row>
    <row r="55" spans="1:15" ht="25.5">
      <c r="A55" s="357"/>
      <c r="B55" s="498"/>
      <c r="C55" s="47" t="s">
        <v>300</v>
      </c>
      <c r="D55" s="57" t="s">
        <v>238</v>
      </c>
      <c r="E55" s="167">
        <f>E40+E41</f>
        <v>24558</v>
      </c>
      <c r="F55" s="336"/>
      <c r="G55" s="336"/>
      <c r="H55" s="336"/>
      <c r="I55" s="336"/>
      <c r="J55" s="336"/>
      <c r="K55" s="336"/>
      <c r="L55" s="336"/>
      <c r="M55" s="336"/>
      <c r="N55" s="336"/>
      <c r="O55" s="337"/>
    </row>
    <row r="56" spans="1:16" ht="30.75" customHeight="1">
      <c r="A56" s="357" t="s">
        <v>61</v>
      </c>
      <c r="B56" s="690" t="s">
        <v>210</v>
      </c>
      <c r="C56" s="690"/>
      <c r="D56" s="359" t="s">
        <v>86</v>
      </c>
      <c r="E56" s="362">
        <f>SUM(F56:O56)</f>
        <v>10598990508.232296</v>
      </c>
      <c r="F56" s="360">
        <f>(E57+E58)*E60/1000</f>
        <v>203688000</v>
      </c>
      <c r="G56" s="360">
        <f>E60*(E61+E62)/1000</f>
        <v>950544000</v>
      </c>
      <c r="H56" s="360">
        <f>G56*(1+'Dữ liệu theo hoạt động'!$E$60)</f>
        <v>996170112</v>
      </c>
      <c r="I56" s="360">
        <f>H56*(1+'Dữ liệu theo hoạt động'!$E$60)</f>
        <v>1043986277.376</v>
      </c>
      <c r="J56" s="360">
        <f>I56*(1+'Dữ liệu theo hoạt động'!$E$60)</f>
        <v>1094097618.690048</v>
      </c>
      <c r="K56" s="360">
        <f>J56*(1+'Dữ liệu theo hoạt động'!$E$60)</f>
        <v>1146614304.3871703</v>
      </c>
      <c r="L56" s="360">
        <f>K56*(1+'Dữ liệu theo hoạt động'!$E$60)</f>
        <v>1201651790.9977546</v>
      </c>
      <c r="M56" s="360">
        <f>L56*(1+'Dữ liệu theo hoạt động'!$E$60)</f>
        <v>1259331076.9656467</v>
      </c>
      <c r="N56" s="360">
        <f>M56*(1+'Dữ liệu theo hoạt động'!$E$60)</f>
        <v>1319778968.659998</v>
      </c>
      <c r="O56" s="361">
        <f>N56*(1+'Dữ liệu theo hoạt động'!$E$60)</f>
        <v>1383128359.1556778</v>
      </c>
      <c r="P56" s="106" t="s">
        <v>387</v>
      </c>
    </row>
    <row r="57" spans="1:15" ht="25.5">
      <c r="A57" s="357"/>
      <c r="B57" s="309"/>
      <c r="C57" s="47" t="s">
        <v>211</v>
      </c>
      <c r="D57" s="323" t="s">
        <v>64</v>
      </c>
      <c r="E57" s="324">
        <f>'Dữ liệu theo hoạt động'!$E$21</f>
        <v>8000000</v>
      </c>
      <c r="F57" s="336"/>
      <c r="G57" s="336" t="s">
        <v>100</v>
      </c>
      <c r="H57" s="336"/>
      <c r="I57" s="336"/>
      <c r="J57" s="336"/>
      <c r="K57" s="336"/>
      <c r="L57" s="336"/>
      <c r="M57" s="336"/>
      <c r="N57" s="336"/>
      <c r="O57" s="337"/>
    </row>
    <row r="58" spans="1:15" ht="25.5">
      <c r="A58" s="357"/>
      <c r="B58" s="309"/>
      <c r="C58" s="47" t="s">
        <v>212</v>
      </c>
      <c r="D58" s="323" t="s">
        <v>64</v>
      </c>
      <c r="E58" s="324">
        <f>'Dữ liệu theo hoạt động'!$E$22</f>
        <v>1000000</v>
      </c>
      <c r="F58" s="336" t="s">
        <v>100</v>
      </c>
      <c r="G58" s="336"/>
      <c r="H58" s="336"/>
      <c r="I58" s="336"/>
      <c r="J58" s="336"/>
      <c r="K58" s="336"/>
      <c r="L58" s="336"/>
      <c r="M58" s="336"/>
      <c r="N58" s="336"/>
      <c r="O58" s="337"/>
    </row>
    <row r="59" spans="1:15" ht="25.5">
      <c r="A59" s="357"/>
      <c r="B59" s="309"/>
      <c r="C59" s="47" t="s">
        <v>213</v>
      </c>
      <c r="D59" s="323" t="s">
        <v>64</v>
      </c>
      <c r="E59" s="324">
        <v>3000000</v>
      </c>
      <c r="F59" s="336"/>
      <c r="G59" s="336"/>
      <c r="H59" s="336"/>
      <c r="I59" s="336"/>
      <c r="J59" s="336"/>
      <c r="K59" s="336"/>
      <c r="L59" s="336"/>
      <c r="M59" s="336"/>
      <c r="N59" s="336"/>
      <c r="O59" s="337"/>
    </row>
    <row r="60" spans="1:15" ht="25.5">
      <c r="A60" s="357"/>
      <c r="B60" s="309"/>
      <c r="C60" s="47" t="s">
        <v>301</v>
      </c>
      <c r="D60" s="58" t="s">
        <v>88</v>
      </c>
      <c r="E60" s="167">
        <f>E40+E41-E42</f>
        <v>22632</v>
      </c>
      <c r="F60" s="336"/>
      <c r="G60" s="336"/>
      <c r="H60" s="336"/>
      <c r="I60" s="336"/>
      <c r="J60" s="336"/>
      <c r="K60" s="336"/>
      <c r="L60" s="336"/>
      <c r="M60" s="336"/>
      <c r="N60" s="336"/>
      <c r="O60" s="337"/>
    </row>
    <row r="61" spans="1:15" ht="25.5">
      <c r="A61" s="357"/>
      <c r="B61" s="309"/>
      <c r="C61" s="47" t="s">
        <v>214</v>
      </c>
      <c r="D61" s="58" t="s">
        <v>64</v>
      </c>
      <c r="E61" s="324">
        <v>41000000</v>
      </c>
      <c r="F61" s="336"/>
      <c r="G61" s="336"/>
      <c r="H61" s="336"/>
      <c r="I61" s="336"/>
      <c r="J61" s="336"/>
      <c r="K61" s="336"/>
      <c r="L61" s="336"/>
      <c r="M61" s="336"/>
      <c r="N61" s="336"/>
      <c r="O61" s="337"/>
    </row>
    <row r="62" spans="1:15" ht="25.5">
      <c r="A62" s="357"/>
      <c r="B62" s="309"/>
      <c r="C62" s="47" t="s">
        <v>215</v>
      </c>
      <c r="D62" s="58" t="s">
        <v>64</v>
      </c>
      <c r="E62" s="324">
        <v>1000000</v>
      </c>
      <c r="F62" s="336"/>
      <c r="G62" s="336"/>
      <c r="H62" s="336"/>
      <c r="I62" s="336"/>
      <c r="J62" s="336"/>
      <c r="K62" s="336"/>
      <c r="L62" s="336"/>
      <c r="M62" s="336"/>
      <c r="N62" s="336"/>
      <c r="O62" s="337"/>
    </row>
    <row r="63" spans="1:16" ht="30.75" customHeight="1">
      <c r="A63" s="357" t="s">
        <v>61</v>
      </c>
      <c r="B63" s="690" t="s">
        <v>205</v>
      </c>
      <c r="C63" s="690"/>
      <c r="D63" s="359" t="s">
        <v>86</v>
      </c>
      <c r="E63" s="362">
        <f>SUM(F63:O63)</f>
        <v>381133106.8194756</v>
      </c>
      <c r="F63" s="360">
        <f>E66*E67*(E68*E70+E69*E71)/1000</f>
        <v>30585838.90909091</v>
      </c>
      <c r="G63" s="360">
        <f>F63*(1+'Dữ liệu theo hoạt động'!$E$60)</f>
        <v>32053959.176727276</v>
      </c>
      <c r="H63" s="360">
        <f>G63*(1+'Dữ liệu theo hoạt động'!$E$60)</f>
        <v>33592549.21721019</v>
      </c>
      <c r="I63" s="360">
        <f>H63*(1+'Dữ liệu theo hoạt động'!$E$60)</f>
        <v>35204991.579636276</v>
      </c>
      <c r="J63" s="360">
        <f>I63*(1+'Dữ liệu theo hoạt động'!$E$60)</f>
        <v>36894831.17545882</v>
      </c>
      <c r="K63" s="360">
        <f>J63*(1+'Dữ liệu theo hoạt động'!$E$60)</f>
        <v>38665783.07188085</v>
      </c>
      <c r="L63" s="360">
        <f>K63*(1+'Dữ liệu theo hoạt động'!$E$60)</f>
        <v>40521740.65933113</v>
      </c>
      <c r="M63" s="360">
        <f>L63*(1+'Dữ liệu theo hoạt động'!$E$60)</f>
        <v>42466784.21097902</v>
      </c>
      <c r="N63" s="360">
        <f>M63*(1+'Dữ liệu theo hoạt động'!$E$60)</f>
        <v>44505189.853106014</v>
      </c>
      <c r="O63" s="361">
        <f>N63*(1+'Dữ liệu theo hoạt động'!$E$60)</f>
        <v>46641438.9660551</v>
      </c>
      <c r="P63" s="106" t="s">
        <v>387</v>
      </c>
    </row>
    <row r="64" spans="1:16" ht="25.5">
      <c r="A64" s="357"/>
      <c r="B64" s="505"/>
      <c r="C64" s="505" t="s">
        <v>302</v>
      </c>
      <c r="D64" s="359" t="s">
        <v>86</v>
      </c>
      <c r="E64" s="362">
        <f>SUM(F64:O64)</f>
        <v>192127536.91121238</v>
      </c>
      <c r="F64" s="360">
        <f>E66*E67*E68*E70/1000</f>
        <v>15418188.000000004</v>
      </c>
      <c r="G64" s="360">
        <f>F64*(1+'Dữ liệu theo hoạt động'!$E$60)</f>
        <v>16158261.024000004</v>
      </c>
      <c r="H64" s="360">
        <f>G64*(1+'Dữ liệu theo hoạt động'!$E$60)</f>
        <v>16933857.553152006</v>
      </c>
      <c r="I64" s="360">
        <f>H64*(1+'Dữ liệu theo hoạt động'!$E$60)</f>
        <v>17746682.715703305</v>
      </c>
      <c r="J64" s="360">
        <f>I64*(1+'Dữ liệu theo hoạt động'!$E$60)</f>
        <v>18598523.486057065</v>
      </c>
      <c r="K64" s="360">
        <f>J64*(1+'Dữ liệu theo hoạt động'!$E$60)</f>
        <v>19491252.613387804</v>
      </c>
      <c r="L64" s="360">
        <f>K64*(1+'Dữ liệu theo hoạt động'!$E$60)</f>
        <v>20426832.73883042</v>
      </c>
      <c r="M64" s="360">
        <f>L64*(1+'Dữ liệu theo hoạt động'!$E$60)</f>
        <v>21407320.710294284</v>
      </c>
      <c r="N64" s="360">
        <f>M64*(1+'Dữ liệu theo hoạt động'!$E$60)</f>
        <v>22434872.104388412</v>
      </c>
      <c r="O64" s="361">
        <f>N64*(1+'Dữ liệu theo hoạt động'!$E$60)</f>
        <v>23511745.965399057</v>
      </c>
      <c r="P64" s="106" t="s">
        <v>387</v>
      </c>
    </row>
    <row r="65" spans="1:16" ht="38.25">
      <c r="A65" s="357"/>
      <c r="B65" s="505"/>
      <c r="C65" s="505" t="s">
        <v>346</v>
      </c>
      <c r="D65" s="359" t="s">
        <v>86</v>
      </c>
      <c r="E65" s="362">
        <f>SUM(F65:O65)</f>
        <v>189005569.9082633</v>
      </c>
      <c r="F65" s="360">
        <f>E66*E67*E69*E71/1000</f>
        <v>15167650.909090912</v>
      </c>
      <c r="G65" s="360">
        <f>F65*(1+'Dữ liệu theo hoạt động'!$E$60)</f>
        <v>15895698.152727276</v>
      </c>
      <c r="H65" s="360">
        <f>G65*(1+'Dữ liệu theo hoạt động'!$E$60)</f>
        <v>16658691.664058186</v>
      </c>
      <c r="I65" s="360">
        <f>H65*(1+'Dữ liệu theo hoạt động'!$E$60)</f>
        <v>17458308.86393298</v>
      </c>
      <c r="J65" s="360">
        <f>I65*(1+'Dữ liệu theo hoạt động'!$E$60)</f>
        <v>18296307.68940176</v>
      </c>
      <c r="K65" s="360">
        <f>J65*(1+'Dữ liệu theo hoạt động'!$E$60)</f>
        <v>19174530.458493046</v>
      </c>
      <c r="L65" s="360">
        <f>K65*(1+'Dữ liệu theo hoạt động'!$E$60)</f>
        <v>20094907.920500714</v>
      </c>
      <c r="M65" s="360">
        <f>L65*(1+'Dữ liệu theo hoạt động'!$E$60)</f>
        <v>21059463.50068475</v>
      </c>
      <c r="N65" s="360">
        <f>M65*(1+'Dữ liệu theo hoạt động'!$E$60)</f>
        <v>22070317.748717617</v>
      </c>
      <c r="O65" s="361">
        <f>N65*(1+'Dữ liệu theo hoạt động'!$E$60)</f>
        <v>23129693.000656065</v>
      </c>
      <c r="P65" s="106" t="s">
        <v>387</v>
      </c>
    </row>
    <row r="66" spans="1:15" ht="36.75" customHeight="1">
      <c r="A66" s="357"/>
      <c r="B66" s="506"/>
      <c r="C66" s="46" t="s">
        <v>350</v>
      </c>
      <c r="D66" s="57" t="s">
        <v>303</v>
      </c>
      <c r="E66" s="75">
        <f>E19*20%</f>
        <v>476697.60000000003</v>
      </c>
      <c r="F66" s="336"/>
      <c r="G66" s="336"/>
      <c r="H66" s="336"/>
      <c r="I66" s="336"/>
      <c r="J66" s="336"/>
      <c r="K66" s="336"/>
      <c r="L66" s="336"/>
      <c r="M66" s="336"/>
      <c r="N66" s="336"/>
      <c r="O66" s="337"/>
    </row>
    <row r="67" spans="1:15" ht="29.25" customHeight="1">
      <c r="A67" s="357"/>
      <c r="B67" s="506"/>
      <c r="C67" s="46" t="s">
        <v>206</v>
      </c>
      <c r="D67" s="57" t="s">
        <v>68</v>
      </c>
      <c r="E67" s="366">
        <f>'Dữ liệu theo hoạt động'!$E$17</f>
        <v>0.05</v>
      </c>
      <c r="F67" s="336"/>
      <c r="G67" s="336"/>
      <c r="H67" s="336"/>
      <c r="I67" s="336"/>
      <c r="J67" s="336"/>
      <c r="K67" s="336"/>
      <c r="L67" s="336"/>
      <c r="M67" s="336"/>
      <c r="N67" s="336"/>
      <c r="O67" s="337"/>
    </row>
    <row r="68" spans="1:15" ht="30.75" customHeight="1">
      <c r="A68" s="357"/>
      <c r="B68" s="309"/>
      <c r="C68" s="47" t="s">
        <v>208</v>
      </c>
      <c r="D68" s="58" t="s">
        <v>180</v>
      </c>
      <c r="E68" s="332">
        <f>'Dữ liệu theo hoạt động'!$E$18</f>
        <v>24</v>
      </c>
      <c r="F68" s="336"/>
      <c r="G68" s="336"/>
      <c r="H68" s="336"/>
      <c r="I68" s="336"/>
      <c r="J68" s="336"/>
      <c r="K68" s="336"/>
      <c r="L68" s="336"/>
      <c r="M68" s="336"/>
      <c r="N68" s="336"/>
      <c r="O68" s="337"/>
    </row>
    <row r="69" spans="1:15" ht="25.5">
      <c r="A69" s="357"/>
      <c r="B69" s="309"/>
      <c r="C69" s="47" t="s">
        <v>282</v>
      </c>
      <c r="D69" s="58" t="s">
        <v>180</v>
      </c>
      <c r="E69" s="332">
        <f>'Dữ liệu theo hoạt động'!$E$19</f>
        <v>16</v>
      </c>
      <c r="F69" s="336"/>
      <c r="G69" s="336"/>
      <c r="H69" s="336"/>
      <c r="I69" s="336"/>
      <c r="J69" s="336"/>
      <c r="K69" s="336"/>
      <c r="L69" s="336"/>
      <c r="M69" s="336"/>
      <c r="N69" s="336"/>
      <c r="O69" s="337"/>
    </row>
    <row r="70" spans="1:15" ht="25.5">
      <c r="A70" s="357"/>
      <c r="B70" s="309"/>
      <c r="C70" s="47" t="s">
        <v>304</v>
      </c>
      <c r="D70" s="323" t="s">
        <v>64</v>
      </c>
      <c r="E70" s="324">
        <f>'Dữ liệu cơ bản'!$D$2</f>
        <v>26953.125</v>
      </c>
      <c r="F70" s="336"/>
      <c r="G70" s="336"/>
      <c r="H70" s="336"/>
      <c r="I70" s="336"/>
      <c r="J70" s="336"/>
      <c r="K70" s="336"/>
      <c r="L70" s="336"/>
      <c r="M70" s="336"/>
      <c r="N70" s="336"/>
      <c r="O70" s="337"/>
    </row>
    <row r="71" spans="1:15" ht="30.75" customHeight="1">
      <c r="A71" s="357"/>
      <c r="B71" s="309"/>
      <c r="C71" s="46" t="s">
        <v>284</v>
      </c>
      <c r="D71" s="323" t="s">
        <v>64</v>
      </c>
      <c r="E71" s="333">
        <f>'Dữ liệu cơ bản'!$D$5</f>
        <v>39772.72727272727</v>
      </c>
      <c r="F71" s="336"/>
      <c r="G71" s="336"/>
      <c r="H71" s="336"/>
      <c r="I71" s="336"/>
      <c r="J71" s="336"/>
      <c r="K71" s="336"/>
      <c r="L71" s="336"/>
      <c r="M71" s="336"/>
      <c r="N71" s="336"/>
      <c r="O71" s="337"/>
    </row>
    <row r="72" spans="1:15" ht="30.75" customHeight="1">
      <c r="A72" s="357" t="s">
        <v>61</v>
      </c>
      <c r="B72" s="690" t="s">
        <v>241</v>
      </c>
      <c r="C72" s="690"/>
      <c r="D72" s="359" t="s">
        <v>87</v>
      </c>
      <c r="E72" s="367">
        <f>SUM(E73:E75)</f>
        <v>15850000</v>
      </c>
      <c r="F72" s="368"/>
      <c r="G72" s="360"/>
      <c r="H72" s="360"/>
      <c r="I72" s="360"/>
      <c r="J72" s="360"/>
      <c r="K72" s="360"/>
      <c r="L72" s="360"/>
      <c r="M72" s="360"/>
      <c r="N72" s="360"/>
      <c r="O72" s="361"/>
    </row>
    <row r="73" spans="1:15" ht="27" customHeight="1">
      <c r="A73" s="357"/>
      <c r="B73" s="309"/>
      <c r="C73" s="46" t="s">
        <v>341</v>
      </c>
      <c r="D73" s="67" t="s">
        <v>87</v>
      </c>
      <c r="E73" s="369">
        <f>'Dữ liệu theo hoạt động'!$E$55</f>
        <v>5200000</v>
      </c>
      <c r="F73" s="336"/>
      <c r="G73" s="336"/>
      <c r="H73" s="336"/>
      <c r="I73" s="336"/>
      <c r="J73" s="336"/>
      <c r="K73" s="336"/>
      <c r="L73" s="336"/>
      <c r="M73" s="336"/>
      <c r="N73" s="336"/>
      <c r="O73" s="337"/>
    </row>
    <row r="74" spans="1:15" ht="27" customHeight="1">
      <c r="A74" s="357"/>
      <c r="B74" s="309"/>
      <c r="C74" s="46" t="s">
        <v>342</v>
      </c>
      <c r="D74" s="67" t="s">
        <v>87</v>
      </c>
      <c r="E74" s="369">
        <f>'Dữ liệu theo hoạt động'!$E$56</f>
        <v>650000</v>
      </c>
      <c r="F74" s="336"/>
      <c r="G74" s="336"/>
      <c r="H74" s="336"/>
      <c r="I74" s="336"/>
      <c r="J74" s="336"/>
      <c r="K74" s="336"/>
      <c r="L74" s="336"/>
      <c r="M74" s="336"/>
      <c r="N74" s="336"/>
      <c r="O74" s="337"/>
    </row>
    <row r="75" spans="1:15" ht="30.75" customHeight="1">
      <c r="A75" s="357"/>
      <c r="B75" s="309"/>
      <c r="C75" s="46" t="s">
        <v>335</v>
      </c>
      <c r="D75" s="370" t="s">
        <v>143</v>
      </c>
      <c r="E75" s="369">
        <f>'Dữ liệu theo hoạt động'!$E$57</f>
        <v>10000000</v>
      </c>
      <c r="F75" s="336"/>
      <c r="G75" s="336"/>
      <c r="H75" s="336"/>
      <c r="I75" s="336"/>
      <c r="J75" s="336"/>
      <c r="K75" s="336"/>
      <c r="L75" s="336"/>
      <c r="M75" s="336"/>
      <c r="N75" s="336"/>
      <c r="O75" s="337"/>
    </row>
    <row r="76" spans="1:15" ht="29.25" customHeight="1">
      <c r="A76" s="357" t="s">
        <v>61</v>
      </c>
      <c r="B76" s="696" t="s">
        <v>216</v>
      </c>
      <c r="C76" s="696"/>
      <c r="D76" s="58"/>
      <c r="E76" s="167"/>
      <c r="F76" s="336"/>
      <c r="G76" s="336"/>
      <c r="H76" s="336"/>
      <c r="I76" s="336"/>
      <c r="J76" s="336"/>
      <c r="K76" s="336"/>
      <c r="L76" s="336"/>
      <c r="M76" s="336"/>
      <c r="N76" s="336"/>
      <c r="O76" s="337"/>
    </row>
    <row r="77" spans="1:16" ht="27" customHeight="1">
      <c r="A77" s="357" t="s">
        <v>61</v>
      </c>
      <c r="B77" s="668" t="s">
        <v>217</v>
      </c>
      <c r="C77" s="668"/>
      <c r="D77" s="79" t="s">
        <v>86</v>
      </c>
      <c r="E77" s="371">
        <f>SUM(F77:O77)</f>
        <v>2558855980.3140373</v>
      </c>
      <c r="F77" s="372">
        <f>F80*(F81*F82+F83*F84)/1000</f>
        <v>268565604.54545456</v>
      </c>
      <c r="G77" s="372">
        <f>G80*(G81*G82+G83*G84)/1000</f>
        <v>253311078.20727274</v>
      </c>
      <c r="H77" s="372">
        <f aca="true" t="shared" si="9" ref="H77:O77">H80*(H81*H82+H83*H84)/1000</f>
        <v>255789934.27495858</v>
      </c>
      <c r="I77" s="372">
        <f t="shared" si="9"/>
        <v>257169949.9603999</v>
      </c>
      <c r="J77" s="372">
        <f t="shared" si="9"/>
        <v>257567956.1464198</v>
      </c>
      <c r="K77" s="372">
        <f t="shared" si="9"/>
        <v>257091056.85034764</v>
      </c>
      <c r="L77" s="372">
        <f t="shared" si="9"/>
        <v>255837357.27147147</v>
      </c>
      <c r="M77" s="372">
        <f t="shared" si="9"/>
        <v>253896640.5135027</v>
      </c>
      <c r="N77" s="372">
        <f t="shared" si="9"/>
        <v>251350996.4637157</v>
      </c>
      <c r="O77" s="373">
        <f t="shared" si="9"/>
        <v>248275406.08049423</v>
      </c>
      <c r="P77" s="106" t="s">
        <v>387</v>
      </c>
    </row>
    <row r="78" spans="1:16" ht="33" customHeight="1">
      <c r="A78" s="357"/>
      <c r="B78" s="503"/>
      <c r="C78" s="505" t="s">
        <v>285</v>
      </c>
      <c r="D78" s="79" t="s">
        <v>86</v>
      </c>
      <c r="E78" s="371">
        <f>SUM(F78:O78)</f>
        <v>1502342259.0690017</v>
      </c>
      <c r="F78" s="372">
        <f>F80*F81*F82/1000</f>
        <v>192727350.00000003</v>
      </c>
      <c r="G78" s="372">
        <f>G80*G81*G82/1000</f>
        <v>181780436.52000004</v>
      </c>
      <c r="H78" s="372">
        <f aca="true" t="shared" si="10" ref="H78:O78">H80*H81*H82/1000</f>
        <v>171455307.72566402</v>
      </c>
      <c r="I78" s="372">
        <f t="shared" si="10"/>
        <v>161716646.24684635</v>
      </c>
      <c r="J78" s="372">
        <f t="shared" si="10"/>
        <v>152531140.7400255</v>
      </c>
      <c r="K78" s="372">
        <f t="shared" si="10"/>
        <v>143867371.94599202</v>
      </c>
      <c r="L78" s="372">
        <f t="shared" si="10"/>
        <v>135695705.2194597</v>
      </c>
      <c r="M78" s="372">
        <f t="shared" si="10"/>
        <v>127988189.1629944</v>
      </c>
      <c r="N78" s="372">
        <f t="shared" si="10"/>
        <v>120718460.01853631</v>
      </c>
      <c r="O78" s="373">
        <f t="shared" si="10"/>
        <v>113861651.48948348</v>
      </c>
      <c r="P78" s="106" t="s">
        <v>387</v>
      </c>
    </row>
    <row r="79" spans="1:16" ht="38.25">
      <c r="A79" s="357"/>
      <c r="B79" s="503"/>
      <c r="C79" s="505" t="s">
        <v>343</v>
      </c>
      <c r="D79" s="79" t="s">
        <v>86</v>
      </c>
      <c r="E79" s="371">
        <f>SUM(F79:O79)</f>
        <v>1056513721.2450356</v>
      </c>
      <c r="F79" s="372">
        <f>F80*F83*F84/1000</f>
        <v>75838254.54545455</v>
      </c>
      <c r="G79" s="372">
        <f>G80*G83*G84/1000</f>
        <v>71530641.68727274</v>
      </c>
      <c r="H79" s="372">
        <f aca="true" t="shared" si="11" ref="H79:O79">H80*H83*H84/1000</f>
        <v>84334626.54929456</v>
      </c>
      <c r="I79" s="372">
        <f t="shared" si="11"/>
        <v>95453303.71355358</v>
      </c>
      <c r="J79" s="372">
        <f t="shared" si="11"/>
        <v>105036815.40639436</v>
      </c>
      <c r="K79" s="372">
        <f t="shared" si="11"/>
        <v>113223684.90435559</v>
      </c>
      <c r="L79" s="372">
        <f t="shared" si="11"/>
        <v>120141652.05201173</v>
      </c>
      <c r="M79" s="372">
        <f t="shared" si="11"/>
        <v>125908451.3505083</v>
      </c>
      <c r="N79" s="372">
        <f t="shared" si="11"/>
        <v>130632536.44517939</v>
      </c>
      <c r="O79" s="373">
        <f t="shared" si="11"/>
        <v>134413754.59101075</v>
      </c>
      <c r="P79" s="106" t="s">
        <v>387</v>
      </c>
    </row>
    <row r="80" spans="1:16" ht="25.5">
      <c r="A80" s="357"/>
      <c r="B80" s="334"/>
      <c r="C80" s="46" t="s">
        <v>305</v>
      </c>
      <c r="D80" s="57" t="s">
        <v>219</v>
      </c>
      <c r="E80" s="75">
        <f>E66</f>
        <v>476697.60000000003</v>
      </c>
      <c r="F80" s="321">
        <f>E80</f>
        <v>476697.60000000003</v>
      </c>
      <c r="G80" s="167">
        <f>F80*(1-'Dữ liệu theo hoạt động'!$E$34)</f>
        <v>429027.84</v>
      </c>
      <c r="H80" s="167">
        <f>G80*(1-'Dữ liệu theo hoạt động'!$E$34)</f>
        <v>386125.05600000004</v>
      </c>
      <c r="I80" s="167">
        <f>H80*(1-'Dữ liệu theo hoạt động'!$E$34)</f>
        <v>347512.55040000007</v>
      </c>
      <c r="J80" s="167">
        <f>I80*(1-'Dữ liệu theo hoạt động'!$E$34)</f>
        <v>312761.29536000005</v>
      </c>
      <c r="K80" s="167">
        <f>J80*(1-'Dữ liệu theo hoạt động'!$E$34)</f>
        <v>281485.165824</v>
      </c>
      <c r="L80" s="167">
        <f>K80*(1-'Dữ liệu theo hoạt động'!$E$34)</f>
        <v>253336.64924160004</v>
      </c>
      <c r="M80" s="167">
        <f>L80*(1-'Dữ liệu theo hoạt động'!$E$34)</f>
        <v>228002.98431744004</v>
      </c>
      <c r="N80" s="167">
        <f>M80*(1-'Dữ liệu theo hoạt động'!$E$34)</f>
        <v>205202.68588569603</v>
      </c>
      <c r="O80" s="374">
        <f>N80*(1-'Dữ liệu theo hoạt động'!$E$34)</f>
        <v>184682.41729712643</v>
      </c>
      <c r="P80" s="534"/>
    </row>
    <row r="81" spans="1:16" ht="25.5">
      <c r="A81" s="357"/>
      <c r="B81" s="309"/>
      <c r="C81" s="47" t="s">
        <v>220</v>
      </c>
      <c r="D81" s="58" t="s">
        <v>180</v>
      </c>
      <c r="E81" s="321">
        <f>'Dữ liệu theo hoạt động'!$E$30</f>
        <v>15</v>
      </c>
      <c r="F81" s="321">
        <f>E81</f>
        <v>15</v>
      </c>
      <c r="G81" s="167">
        <f>F81</f>
        <v>15</v>
      </c>
      <c r="H81" s="167">
        <f aca="true" t="shared" si="12" ref="H81:O81">G81</f>
        <v>15</v>
      </c>
      <c r="I81" s="167">
        <f t="shared" si="12"/>
        <v>15</v>
      </c>
      <c r="J81" s="167">
        <f t="shared" si="12"/>
        <v>15</v>
      </c>
      <c r="K81" s="167">
        <f t="shared" si="12"/>
        <v>15</v>
      </c>
      <c r="L81" s="167">
        <f t="shared" si="12"/>
        <v>15</v>
      </c>
      <c r="M81" s="167">
        <f t="shared" si="12"/>
        <v>15</v>
      </c>
      <c r="N81" s="167">
        <f t="shared" si="12"/>
        <v>15</v>
      </c>
      <c r="O81" s="374">
        <f t="shared" si="12"/>
        <v>15</v>
      </c>
      <c r="P81" s="534"/>
    </row>
    <row r="82" spans="1:15" ht="25.5">
      <c r="A82" s="357"/>
      <c r="B82" s="309"/>
      <c r="C82" s="47" t="s">
        <v>221</v>
      </c>
      <c r="D82" s="58" t="s">
        <v>64</v>
      </c>
      <c r="E82" s="321">
        <f>'Dữ liệu cơ bản'!$D$2</f>
        <v>26953.125</v>
      </c>
      <c r="F82" s="321">
        <f>E82</f>
        <v>26953.125</v>
      </c>
      <c r="G82" s="321">
        <f>F82*(1+'Dữ liệu theo hoạt động'!$E$60)</f>
        <v>28246.875</v>
      </c>
      <c r="H82" s="321">
        <f>G82*(1+'Dữ liệu theo hoạt động'!$E$60)</f>
        <v>29602.725000000002</v>
      </c>
      <c r="I82" s="321">
        <f>H82*(1+'Dữ liệu theo hoạt động'!$E$60)</f>
        <v>31023.655800000004</v>
      </c>
      <c r="J82" s="321">
        <f>I82*(1+'Dữ liệu theo hoạt động'!$E$60)</f>
        <v>32512.791278400007</v>
      </c>
      <c r="K82" s="321">
        <f>J82*(1+'Dữ liệu theo hoạt động'!$E$60)</f>
        <v>34073.40525976321</v>
      </c>
      <c r="L82" s="321">
        <f>K82*(1+'Dữ liệu theo hoạt động'!$E$60)</f>
        <v>35708.92871223185</v>
      </c>
      <c r="M82" s="321">
        <f>L82*(1+'Dữ liệu theo hoạt động'!$E$60)</f>
        <v>37422.95729041898</v>
      </c>
      <c r="N82" s="321">
        <f>M82*(1+'Dữ liệu theo hoạt động'!$E$60)</f>
        <v>39219.25924035909</v>
      </c>
      <c r="O82" s="338">
        <f>N82*(1+'Dữ liệu theo hoạt động'!$E$60)</f>
        <v>41101.78368389633</v>
      </c>
    </row>
    <row r="83" spans="1:15" ht="25.5">
      <c r="A83" s="357"/>
      <c r="B83" s="309"/>
      <c r="C83" s="47" t="s">
        <v>306</v>
      </c>
      <c r="D83" s="58" t="s">
        <v>180</v>
      </c>
      <c r="E83" s="321">
        <f>'Dữ liệu theo hoạt động'!$E$32</f>
        <v>4</v>
      </c>
      <c r="F83" s="321">
        <f>E83</f>
        <v>4</v>
      </c>
      <c r="G83" s="321">
        <v>4</v>
      </c>
      <c r="H83" s="321">
        <v>5</v>
      </c>
      <c r="I83" s="321">
        <v>6</v>
      </c>
      <c r="J83" s="321">
        <v>7</v>
      </c>
      <c r="K83" s="321">
        <v>8</v>
      </c>
      <c r="L83" s="321">
        <v>9</v>
      </c>
      <c r="M83" s="321">
        <v>10</v>
      </c>
      <c r="N83" s="321">
        <v>11</v>
      </c>
      <c r="O83" s="338">
        <v>12</v>
      </c>
    </row>
    <row r="84" spans="1:15" ht="30.75" customHeight="1">
      <c r="A84" s="357"/>
      <c r="B84" s="309"/>
      <c r="C84" s="46" t="s">
        <v>222</v>
      </c>
      <c r="D84" s="58" t="s">
        <v>64</v>
      </c>
      <c r="E84" s="321">
        <f>'Dữ liệu cơ bản'!$D$5</f>
        <v>39772.72727272727</v>
      </c>
      <c r="F84" s="321">
        <f>E84</f>
        <v>39772.72727272727</v>
      </c>
      <c r="G84" s="321">
        <f>F84*(1+'Dữ liệu theo hoạt động'!$E$60)</f>
        <v>41681.818181818184</v>
      </c>
      <c r="H84" s="321">
        <f>G84*(1+'Dữ liệu theo hoạt động'!$E$60)</f>
        <v>43682.545454545456</v>
      </c>
      <c r="I84" s="321">
        <f>H84*(1+'Dữ liệu theo hoạt động'!$E$60)</f>
        <v>45779.30763636364</v>
      </c>
      <c r="J84" s="321">
        <f>I84*(1+'Dữ liệu theo hoạt động'!$E$60)</f>
        <v>47976.7144029091</v>
      </c>
      <c r="K84" s="321">
        <f>J84*(1+'Dữ liệu theo hoạt động'!$E$60)</f>
        <v>50279.596694248736</v>
      </c>
      <c r="L84" s="321">
        <f>K84*(1+'Dữ liệu theo hoạt động'!$E$60)</f>
        <v>52693.01733557268</v>
      </c>
      <c r="M84" s="321">
        <f>L84*(1+'Dữ liệu theo hoạt động'!$E$60)</f>
        <v>55222.28216768017</v>
      </c>
      <c r="N84" s="321">
        <f>M84*(1+'Dữ liệu theo hoạt động'!$E$60)</f>
        <v>57872.95171172882</v>
      </c>
      <c r="O84" s="338">
        <f>N84*(1+'Dữ liệu theo hoạt động'!$E$60)</f>
        <v>60650.853393891804</v>
      </c>
    </row>
    <row r="85" spans="1:16" ht="30.75" customHeight="1">
      <c r="A85" s="357" t="s">
        <v>61</v>
      </c>
      <c r="B85" s="669" t="s">
        <v>223</v>
      </c>
      <c r="C85" s="669"/>
      <c r="D85" s="359" t="s">
        <v>87</v>
      </c>
      <c r="E85" s="375">
        <f>SUM(F85:O85)</f>
        <v>24388738965.225433</v>
      </c>
      <c r="F85" s="372">
        <f>(E86*E88+E89*E87)*E92/1000</f>
        <v>3768687540</v>
      </c>
      <c r="G85" s="372">
        <f>(E90*E88+E91*E89)*E92/1000</f>
        <v>1885492620</v>
      </c>
      <c r="H85" s="372">
        <f>G85*(1+'Dữ liệu theo hoạt động'!$E$60)</f>
        <v>1975996265.76</v>
      </c>
      <c r="I85" s="372">
        <f>H85*(1+'Dữ liệu theo hoạt động'!$E$60)</f>
        <v>2070844086.51648</v>
      </c>
      <c r="J85" s="372">
        <f>I85*(1+'Dữ liệu theo hoạt động'!$E$60)</f>
        <v>2170244602.669271</v>
      </c>
      <c r="K85" s="372">
        <f>J85*(1+'Dữ liệu theo hoạt động'!$E$60)</f>
        <v>2274416343.597396</v>
      </c>
      <c r="L85" s="372">
        <f>K85*(1+'Dữ liệu theo hoạt động'!$E$60)</f>
        <v>2383588328.090071</v>
      </c>
      <c r="M85" s="372">
        <f>L85*(1+'Dữ liệu theo hoạt động'!$E$60)</f>
        <v>2498000567.8383946</v>
      </c>
      <c r="N85" s="372">
        <f>M85*(1+'Dữ liệu theo hoạt động'!$E$60)</f>
        <v>2617904595.094638</v>
      </c>
      <c r="O85" s="373">
        <f>N85*(1+'Dữ liệu theo hoạt động'!$E$60)</f>
        <v>2743564015.6591806</v>
      </c>
      <c r="P85" s="106" t="s">
        <v>387</v>
      </c>
    </row>
    <row r="86" spans="1:15" ht="25.5">
      <c r="A86" s="357"/>
      <c r="B86" s="309"/>
      <c r="C86" s="46" t="s">
        <v>307</v>
      </c>
      <c r="D86" s="57" t="s">
        <v>308</v>
      </c>
      <c r="E86" s="321">
        <f>'Dữ liệu theo hoạt động'!$E$36</f>
        <v>5</v>
      </c>
      <c r="F86" s="321"/>
      <c r="G86" s="321"/>
      <c r="H86" s="321"/>
      <c r="I86" s="321"/>
      <c r="J86" s="321"/>
      <c r="K86" s="321"/>
      <c r="L86" s="321"/>
      <c r="M86" s="321"/>
      <c r="N86" s="321"/>
      <c r="O86" s="338"/>
    </row>
    <row r="87" spans="1:15" ht="25.5">
      <c r="A87" s="357"/>
      <c r="B87" s="309"/>
      <c r="C87" s="47" t="s">
        <v>309</v>
      </c>
      <c r="D87" s="57" t="s">
        <v>308</v>
      </c>
      <c r="E87" s="321">
        <f>'Dữ liệu theo hoạt động'!$E$37</f>
        <v>2</v>
      </c>
      <c r="F87" s="321"/>
      <c r="G87" s="321"/>
      <c r="H87" s="321"/>
      <c r="I87" s="321"/>
      <c r="J87" s="321"/>
      <c r="K87" s="321"/>
      <c r="L87" s="321"/>
      <c r="M87" s="321"/>
      <c r="N87" s="321"/>
      <c r="O87" s="338"/>
    </row>
    <row r="88" spans="1:15" ht="25.5">
      <c r="A88" s="357"/>
      <c r="B88" s="309"/>
      <c r="C88" s="46" t="s">
        <v>291</v>
      </c>
      <c r="D88" s="57" t="s">
        <v>238</v>
      </c>
      <c r="E88" s="324">
        <f>E40</f>
        <v>30</v>
      </c>
      <c r="F88" s="321"/>
      <c r="G88" s="321"/>
      <c r="H88" s="321"/>
      <c r="I88" s="321"/>
      <c r="J88" s="321"/>
      <c r="K88" s="321"/>
      <c r="L88" s="321"/>
      <c r="M88" s="321"/>
      <c r="N88" s="321"/>
      <c r="O88" s="338"/>
    </row>
    <row r="89" spans="1:15" ht="25.5">
      <c r="A89" s="357"/>
      <c r="B89" s="309"/>
      <c r="C89" s="46" t="s">
        <v>240</v>
      </c>
      <c r="D89" s="57" t="s">
        <v>238</v>
      </c>
      <c r="E89" s="324">
        <f>E41</f>
        <v>24528</v>
      </c>
      <c r="F89" s="321"/>
      <c r="G89" s="321"/>
      <c r="H89" s="321"/>
      <c r="I89" s="321"/>
      <c r="J89" s="321"/>
      <c r="K89" s="321"/>
      <c r="L89" s="321"/>
      <c r="M89" s="321"/>
      <c r="N89" s="321"/>
      <c r="O89" s="338"/>
    </row>
    <row r="90" spans="1:15" ht="25.5">
      <c r="A90" s="357"/>
      <c r="B90" s="309"/>
      <c r="C90" s="46" t="s">
        <v>310</v>
      </c>
      <c r="D90" s="57" t="s">
        <v>308</v>
      </c>
      <c r="E90" s="321">
        <f>'Dữ liệu theo hoạt động'!$E$38</f>
        <v>3</v>
      </c>
      <c r="F90" s="321"/>
      <c r="G90" s="321"/>
      <c r="H90" s="321"/>
      <c r="I90" s="321"/>
      <c r="J90" s="321"/>
      <c r="K90" s="321"/>
      <c r="L90" s="321"/>
      <c r="M90" s="321"/>
      <c r="N90" s="321"/>
      <c r="O90" s="338"/>
    </row>
    <row r="91" spans="1:15" ht="27.75" customHeight="1">
      <c r="A91" s="357"/>
      <c r="B91" s="309"/>
      <c r="C91" s="46" t="s">
        <v>311</v>
      </c>
      <c r="D91" s="57" t="s">
        <v>308</v>
      </c>
      <c r="E91" s="321">
        <f>'Dữ liệu theo hoạt động'!$E$39</f>
        <v>1</v>
      </c>
      <c r="F91" s="321"/>
      <c r="G91" s="321"/>
      <c r="H91" s="321"/>
      <c r="I91" s="321"/>
      <c r="J91" s="321"/>
      <c r="K91" s="321"/>
      <c r="L91" s="321"/>
      <c r="M91" s="321"/>
      <c r="N91" s="321"/>
      <c r="O91" s="338"/>
    </row>
    <row r="92" spans="1:15" ht="25.5">
      <c r="A92" s="357"/>
      <c r="B92" s="309"/>
      <c r="C92" s="47" t="s">
        <v>228</v>
      </c>
      <c r="D92" s="58" t="s">
        <v>64</v>
      </c>
      <c r="E92" s="167">
        <f>'Dữ liệu cơ bản'!D3*8*22*12</f>
        <v>76590000</v>
      </c>
      <c r="F92" s="321"/>
      <c r="G92" s="321"/>
      <c r="H92" s="321"/>
      <c r="I92" s="321"/>
      <c r="J92" s="321"/>
      <c r="K92" s="321"/>
      <c r="L92" s="321"/>
      <c r="M92" s="321"/>
      <c r="N92" s="321"/>
      <c r="O92" s="338"/>
    </row>
    <row r="93" spans="1:16" ht="27.75" customHeight="1">
      <c r="A93" s="357" t="s">
        <v>61</v>
      </c>
      <c r="B93" s="669" t="s">
        <v>312</v>
      </c>
      <c r="C93" s="669"/>
      <c r="D93" s="79" t="s">
        <v>86</v>
      </c>
      <c r="E93" s="376">
        <f>SUM(F93:O93)</f>
        <v>196160880.63821602</v>
      </c>
      <c r="F93" s="372">
        <f>((E94*E95*E100)+(E98*E99)+E101*E100+E97*E103)/1000</f>
        <v>44197011</v>
      </c>
      <c r="G93" s="360">
        <f>F93*(1+'Dữ liệu theo hoạt động'!$E$60)*$E$102</f>
        <v>13895540.2584</v>
      </c>
      <c r="H93" s="360">
        <f>G93*(1+'Dữ liệu theo hoạt động'!$E$60)</f>
        <v>14562526.190803202</v>
      </c>
      <c r="I93" s="360">
        <f>H93*(1+'Dữ liệu theo hoạt động'!$E$60)</f>
        <v>15261527.447961757</v>
      </c>
      <c r="J93" s="360">
        <f>I93*(1+'Dữ liệu theo hoạt động'!$E$60)</f>
        <v>15994080.765463922</v>
      </c>
      <c r="K93" s="360">
        <f>J93*(1+'Dữ liệu theo hoạt động'!$E$60)</f>
        <v>16761796.642206192</v>
      </c>
      <c r="L93" s="360">
        <f>K93*(1+'Dữ liệu theo hoạt động'!$E$60)</f>
        <v>17566362.88103209</v>
      </c>
      <c r="M93" s="360">
        <f>L93*(1+'Dữ liệu theo hoạt động'!$E$60)</f>
        <v>18409548.299321633</v>
      </c>
      <c r="N93" s="360">
        <f>M93*(1+'Dữ liệu theo hoạt động'!$E$60)</f>
        <v>19293206.617689073</v>
      </c>
      <c r="O93" s="361">
        <f>N93*(1+'Dữ liệu theo hoạt động'!$E$60)</f>
        <v>20219280.53533815</v>
      </c>
      <c r="P93" s="377" t="s">
        <v>388</v>
      </c>
    </row>
    <row r="94" spans="1:15" ht="25.5">
      <c r="A94" s="357"/>
      <c r="B94" s="334"/>
      <c r="C94" s="46" t="s">
        <v>230</v>
      </c>
      <c r="D94" s="58" t="s">
        <v>180</v>
      </c>
      <c r="E94" s="167">
        <f>'Dữ liệu theo hoạt động'!$E$42</f>
        <v>24</v>
      </c>
      <c r="F94" s="167"/>
      <c r="G94" s="378"/>
      <c r="H94" s="378"/>
      <c r="I94" s="378"/>
      <c r="J94" s="378"/>
      <c r="K94" s="378"/>
      <c r="L94" s="378"/>
      <c r="M94" s="378"/>
      <c r="N94" s="378"/>
      <c r="O94" s="379"/>
    </row>
    <row r="95" spans="1:15" ht="28.5" customHeight="1">
      <c r="A95" s="357"/>
      <c r="B95" s="309"/>
      <c r="C95" s="46" t="s">
        <v>178</v>
      </c>
      <c r="D95" s="58" t="s">
        <v>64</v>
      </c>
      <c r="E95" s="167">
        <f>'Dữ liệu theo hoạt động'!$E$43</f>
        <v>26953.125</v>
      </c>
      <c r="F95" s="321"/>
      <c r="G95" s="322"/>
      <c r="H95" s="322"/>
      <c r="I95" s="322"/>
      <c r="J95" s="322"/>
      <c r="K95" s="322"/>
      <c r="L95" s="322"/>
      <c r="M95" s="322"/>
      <c r="N95" s="322"/>
      <c r="O95" s="60"/>
    </row>
    <row r="96" spans="1:15" ht="25.5">
      <c r="A96" s="357"/>
      <c r="B96" s="309"/>
      <c r="C96" s="46" t="s">
        <v>231</v>
      </c>
      <c r="D96" s="57" t="s">
        <v>169</v>
      </c>
      <c r="E96" s="167">
        <f>'Dữ liệu theo hoạt động'!$E$44</f>
        <v>75</v>
      </c>
      <c r="F96" s="321"/>
      <c r="G96" s="322"/>
      <c r="H96" s="322"/>
      <c r="I96" s="322"/>
      <c r="J96" s="322"/>
      <c r="K96" s="322"/>
      <c r="L96" s="322"/>
      <c r="M96" s="322"/>
      <c r="N96" s="322"/>
      <c r="O96" s="60"/>
    </row>
    <row r="97" spans="1:15" ht="31.5" customHeight="1">
      <c r="A97" s="357"/>
      <c r="B97" s="309"/>
      <c r="C97" s="46" t="s">
        <v>313</v>
      </c>
      <c r="D97" s="57" t="s">
        <v>271</v>
      </c>
      <c r="E97" s="321">
        <f>E100/E96</f>
        <v>335.04</v>
      </c>
      <c r="F97" s="321"/>
      <c r="G97" s="322"/>
      <c r="H97" s="322"/>
      <c r="I97" s="322"/>
      <c r="J97" s="322"/>
      <c r="K97" s="322"/>
      <c r="L97" s="322"/>
      <c r="M97" s="322"/>
      <c r="N97" s="322"/>
      <c r="O97" s="60"/>
    </row>
    <row r="98" spans="1:15" ht="25.5">
      <c r="A98" s="357"/>
      <c r="B98" s="309"/>
      <c r="C98" s="46" t="s">
        <v>232</v>
      </c>
      <c r="D98" s="58" t="s">
        <v>64</v>
      </c>
      <c r="E98" s="167">
        <f>'Dữ liệu theo hoạt động'!$E$45</f>
        <v>100000</v>
      </c>
      <c r="F98" s="321"/>
      <c r="G98" s="322"/>
      <c r="H98" s="322"/>
      <c r="I98" s="322"/>
      <c r="J98" s="322"/>
      <c r="K98" s="322"/>
      <c r="L98" s="322"/>
      <c r="M98" s="322"/>
      <c r="N98" s="322"/>
      <c r="O98" s="60"/>
    </row>
    <row r="99" spans="1:15" s="533" customFormat="1" ht="27" customHeight="1">
      <c r="A99" s="567"/>
      <c r="B99" s="527"/>
      <c r="C99" s="528" t="s">
        <v>314</v>
      </c>
      <c r="D99" s="529" t="s">
        <v>169</v>
      </c>
      <c r="E99" s="530">
        <f>E94*E97</f>
        <v>8040.960000000001</v>
      </c>
      <c r="F99" s="530"/>
      <c r="G99" s="531"/>
      <c r="H99" s="531"/>
      <c r="I99" s="531"/>
      <c r="J99" s="531"/>
      <c r="K99" s="531"/>
      <c r="L99" s="531"/>
      <c r="M99" s="531"/>
      <c r="N99" s="531"/>
      <c r="O99" s="532"/>
    </row>
    <row r="100" spans="1:15" ht="27" customHeight="1">
      <c r="A100" s="357"/>
      <c r="B100" s="309"/>
      <c r="C100" s="46" t="s">
        <v>233</v>
      </c>
      <c r="D100" s="57" t="s">
        <v>169</v>
      </c>
      <c r="E100" s="321">
        <f>E104*E105+E106*E107</f>
        <v>25128</v>
      </c>
      <c r="F100" s="321"/>
      <c r="G100" s="322"/>
      <c r="H100" s="322"/>
      <c r="I100" s="322"/>
      <c r="J100" s="322"/>
      <c r="K100" s="322"/>
      <c r="L100" s="322"/>
      <c r="M100" s="322"/>
      <c r="N100" s="322"/>
      <c r="O100" s="60"/>
    </row>
    <row r="101" spans="1:15" ht="27" customHeight="1">
      <c r="A101" s="357"/>
      <c r="B101" s="309"/>
      <c r="C101" s="46" t="s">
        <v>234</v>
      </c>
      <c r="D101" s="58" t="s">
        <v>64</v>
      </c>
      <c r="E101" s="321">
        <f>'Dữ liệu theo hoạt động'!$E$47</f>
        <v>200000</v>
      </c>
      <c r="F101" s="321"/>
      <c r="G101" s="322"/>
      <c r="H101" s="322"/>
      <c r="I101" s="322"/>
      <c r="J101" s="322"/>
      <c r="K101" s="322"/>
      <c r="L101" s="322"/>
      <c r="M101" s="322"/>
      <c r="N101" s="322"/>
      <c r="O101" s="60"/>
    </row>
    <row r="102" spans="1:15" ht="27" customHeight="1">
      <c r="A102" s="357"/>
      <c r="B102" s="309"/>
      <c r="C102" s="46" t="s">
        <v>315</v>
      </c>
      <c r="D102" s="58" t="s">
        <v>65</v>
      </c>
      <c r="E102" s="320">
        <f>'Dữ liệu theo hoạt động'!$E$48</f>
        <v>0.3</v>
      </c>
      <c r="F102" s="321"/>
      <c r="G102" s="322"/>
      <c r="H102" s="322"/>
      <c r="I102" s="322"/>
      <c r="J102" s="322"/>
      <c r="K102" s="322"/>
      <c r="L102" s="322"/>
      <c r="M102" s="322"/>
      <c r="N102" s="322"/>
      <c r="O102" s="60"/>
    </row>
    <row r="103" spans="1:15" ht="27" customHeight="1">
      <c r="A103" s="357"/>
      <c r="B103" s="309"/>
      <c r="C103" s="46" t="s">
        <v>316</v>
      </c>
      <c r="D103" s="58" t="s">
        <v>64</v>
      </c>
      <c r="E103" s="167">
        <f>'Dữ liệu theo hoạt động'!$E$49</f>
        <v>66000000</v>
      </c>
      <c r="F103" s="321"/>
      <c r="G103" s="322"/>
      <c r="H103" s="322"/>
      <c r="I103" s="322"/>
      <c r="J103" s="322"/>
      <c r="K103" s="322"/>
      <c r="L103" s="322"/>
      <c r="M103" s="322"/>
      <c r="N103" s="322"/>
      <c r="O103" s="60"/>
    </row>
    <row r="104" spans="1:15" ht="27" customHeight="1">
      <c r="A104" s="357"/>
      <c r="B104" s="309"/>
      <c r="C104" s="46" t="s">
        <v>237</v>
      </c>
      <c r="D104" s="57" t="s">
        <v>169</v>
      </c>
      <c r="E104" s="321">
        <f>'Dữ liệu theo hoạt động'!$E$50</f>
        <v>20</v>
      </c>
      <c r="F104" s="321"/>
      <c r="G104" s="322"/>
      <c r="H104" s="322"/>
      <c r="I104" s="322"/>
      <c r="J104" s="322"/>
      <c r="K104" s="322"/>
      <c r="L104" s="322"/>
      <c r="M104" s="322"/>
      <c r="N104" s="322"/>
      <c r="O104" s="60"/>
    </row>
    <row r="105" spans="1:15" ht="27" customHeight="1">
      <c r="A105" s="357"/>
      <c r="B105" s="309"/>
      <c r="C105" s="46" t="s">
        <v>291</v>
      </c>
      <c r="D105" s="57" t="s">
        <v>238</v>
      </c>
      <c r="E105" s="321">
        <f>'Dữ liệu cơ bản'!H7</f>
        <v>30</v>
      </c>
      <c r="F105" s="321"/>
      <c r="G105" s="322"/>
      <c r="H105" s="322"/>
      <c r="I105" s="322"/>
      <c r="J105" s="322"/>
      <c r="K105" s="322"/>
      <c r="L105" s="322"/>
      <c r="M105" s="322"/>
      <c r="N105" s="322"/>
      <c r="O105" s="60"/>
    </row>
    <row r="106" spans="1:15" ht="27" customHeight="1">
      <c r="A106" s="357"/>
      <c r="B106" s="309"/>
      <c r="C106" s="46" t="s">
        <v>239</v>
      </c>
      <c r="D106" s="57" t="s">
        <v>169</v>
      </c>
      <c r="E106" s="321">
        <f>'Dữ liệu theo hoạt động'!$E$52</f>
        <v>1</v>
      </c>
      <c r="F106" s="321"/>
      <c r="G106" s="322"/>
      <c r="H106" s="322"/>
      <c r="I106" s="322"/>
      <c r="J106" s="322"/>
      <c r="K106" s="322"/>
      <c r="L106" s="322"/>
      <c r="M106" s="322"/>
      <c r="N106" s="322"/>
      <c r="O106" s="60"/>
    </row>
    <row r="107" spans="1:15" ht="27" customHeight="1" thickBot="1">
      <c r="A107" s="380"/>
      <c r="B107" s="381"/>
      <c r="C107" s="105" t="s">
        <v>240</v>
      </c>
      <c r="D107" s="57" t="s">
        <v>238</v>
      </c>
      <c r="E107" s="382">
        <f>'Dữ liệu cơ bản'!H6</f>
        <v>24528</v>
      </c>
      <c r="F107" s="382"/>
      <c r="G107" s="383"/>
      <c r="H107" s="383"/>
      <c r="I107" s="383"/>
      <c r="J107" s="383"/>
      <c r="K107" s="383"/>
      <c r="L107" s="383"/>
      <c r="M107" s="383"/>
      <c r="N107" s="383"/>
      <c r="O107" s="384"/>
    </row>
    <row r="108" spans="1:15" ht="27.75" customHeight="1">
      <c r="A108" s="354" t="s">
        <v>61</v>
      </c>
      <c r="B108" s="667" t="s">
        <v>270</v>
      </c>
      <c r="C108" s="667"/>
      <c r="D108" s="502" t="s">
        <v>86</v>
      </c>
      <c r="E108" s="385">
        <f>SUM(F108:O108)</f>
        <v>49050758703.247894</v>
      </c>
      <c r="F108" s="386">
        <f aca="true" t="shared" si="13" ref="F108:O108">F43+F48+F52+F56+F63+F72+F77+F85+F93</f>
        <v>7071927684.954546</v>
      </c>
      <c r="G108" s="386">
        <f t="shared" si="13"/>
        <v>3882421837.2864</v>
      </c>
      <c r="H108" s="386">
        <f t="shared" si="13"/>
        <v>4059098009.789884</v>
      </c>
      <c r="I108" s="386">
        <f t="shared" si="13"/>
        <v>4243036813.100042</v>
      </c>
      <c r="J108" s="386">
        <f t="shared" si="13"/>
        <v>4434756428.716764</v>
      </c>
      <c r="K108" s="386">
        <f t="shared" si="13"/>
        <v>4634784576.104069</v>
      </c>
      <c r="L108" s="386">
        <f t="shared" si="13"/>
        <v>4843660165.449372</v>
      </c>
      <c r="M108" s="386">
        <f t="shared" si="13"/>
        <v>5061934943.483941</v>
      </c>
      <c r="N108" s="386">
        <f t="shared" si="13"/>
        <v>5290175137.976736</v>
      </c>
      <c r="O108" s="387">
        <f t="shared" si="13"/>
        <v>5528963106.386141</v>
      </c>
    </row>
    <row r="109" spans="1:15" ht="29.25" customHeight="1">
      <c r="A109" s="357" t="s">
        <v>61</v>
      </c>
      <c r="B109" s="504"/>
      <c r="C109" s="104" t="s">
        <v>289</v>
      </c>
      <c r="D109" s="104" t="s">
        <v>89</v>
      </c>
      <c r="E109" s="388">
        <f>SUM(F109:O109)</f>
        <v>47805239412.0946</v>
      </c>
      <c r="F109" s="388">
        <f>F43+F48+F52+F56+F64+F72+F78+F85+F93</f>
        <v>6980921779.5</v>
      </c>
      <c r="G109" s="388">
        <f aca="true" t="shared" si="14" ref="G109:O109">G43+G48+G52+G56+G64+G78+G85+G93</f>
        <v>3794995497.4463997</v>
      </c>
      <c r="H109" s="388">
        <f t="shared" si="14"/>
        <v>3958104691.576531</v>
      </c>
      <c r="I109" s="388">
        <f t="shared" si="14"/>
        <v>4130125200.5225554</v>
      </c>
      <c r="J109" s="388">
        <f t="shared" si="14"/>
        <v>4311423305.620969</v>
      </c>
      <c r="K109" s="388">
        <f t="shared" si="14"/>
        <v>4502386360.74122</v>
      </c>
      <c r="L109" s="388">
        <f t="shared" si="14"/>
        <v>4703423605.476859</v>
      </c>
      <c r="M109" s="388">
        <f t="shared" si="14"/>
        <v>4914967028.632749</v>
      </c>
      <c r="N109" s="388">
        <f t="shared" si="14"/>
        <v>5137472283.782839</v>
      </c>
      <c r="O109" s="389">
        <f t="shared" si="14"/>
        <v>5371419658.794475</v>
      </c>
    </row>
    <row r="110" spans="1:15" ht="29.25" customHeight="1">
      <c r="A110" s="390" t="s">
        <v>61</v>
      </c>
      <c r="B110" s="109"/>
      <c r="C110" s="110" t="s">
        <v>338</v>
      </c>
      <c r="D110" s="110" t="s">
        <v>89</v>
      </c>
      <c r="E110" s="391">
        <f>SUM(F110:O110)</f>
        <v>1245519291.1532989</v>
      </c>
      <c r="F110" s="391">
        <f>F65+F79</f>
        <v>91005905.45454545</v>
      </c>
      <c r="G110" s="391">
        <f>G65+G79</f>
        <v>87426339.84000002</v>
      </c>
      <c r="H110" s="391">
        <f aca="true" t="shared" si="15" ref="H110:O110">H65+H79</f>
        <v>100993318.21335274</v>
      </c>
      <c r="I110" s="391">
        <f t="shared" si="15"/>
        <v>112911612.57748656</v>
      </c>
      <c r="J110" s="391">
        <f t="shared" si="15"/>
        <v>123333123.09579612</v>
      </c>
      <c r="K110" s="391">
        <f t="shared" si="15"/>
        <v>132398215.36284864</v>
      </c>
      <c r="L110" s="391">
        <f t="shared" si="15"/>
        <v>140236559.97251245</v>
      </c>
      <c r="M110" s="391">
        <f t="shared" si="15"/>
        <v>146967914.85119304</v>
      </c>
      <c r="N110" s="391">
        <f t="shared" si="15"/>
        <v>152702854.193897</v>
      </c>
      <c r="O110" s="389">
        <f t="shared" si="15"/>
        <v>157543447.59166682</v>
      </c>
    </row>
    <row r="111" spans="1:68" s="395" customFormat="1" ht="29.25" customHeight="1">
      <c r="A111" s="392" t="s">
        <v>481</v>
      </c>
      <c r="B111" s="111"/>
      <c r="C111" s="112" t="s">
        <v>317</v>
      </c>
      <c r="D111" s="110" t="s">
        <v>89</v>
      </c>
      <c r="E111" s="391">
        <f>E43+E48+E52+E56</f>
        <v>21525869770.250736</v>
      </c>
      <c r="F111" s="391">
        <f aca="true" t="shared" si="16" ref="F111:O111">F43+F48+F52+F56</f>
        <v>2959891690.5</v>
      </c>
      <c r="G111" s="391">
        <f t="shared" si="16"/>
        <v>1697668639.644</v>
      </c>
      <c r="H111" s="391">
        <f t="shared" si="16"/>
        <v>1779156734.346912</v>
      </c>
      <c r="I111" s="391">
        <f t="shared" si="16"/>
        <v>1864556257.595564</v>
      </c>
      <c r="J111" s="391">
        <f t="shared" si="16"/>
        <v>1954054957.960151</v>
      </c>
      <c r="K111" s="391">
        <f t="shared" si="16"/>
        <v>2047849595.9422383</v>
      </c>
      <c r="L111" s="391">
        <f t="shared" si="16"/>
        <v>2146146376.5474658</v>
      </c>
      <c r="M111" s="391">
        <f t="shared" si="16"/>
        <v>2249161402.621744</v>
      </c>
      <c r="N111" s="391">
        <f t="shared" si="16"/>
        <v>2357121149.947588</v>
      </c>
      <c r="O111" s="393">
        <f t="shared" si="16"/>
        <v>2470262965.1450725</v>
      </c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394"/>
      <c r="BC111" s="394"/>
      <c r="BD111" s="394"/>
      <c r="BE111" s="394"/>
      <c r="BF111" s="394"/>
      <c r="BG111" s="394"/>
      <c r="BH111" s="394"/>
      <c r="BI111" s="394"/>
      <c r="BJ111" s="394"/>
      <c r="BK111" s="394"/>
      <c r="BL111" s="394"/>
      <c r="BM111" s="394"/>
      <c r="BN111" s="394"/>
      <c r="BO111" s="394"/>
      <c r="BP111" s="394"/>
    </row>
    <row r="112" spans="1:15" ht="30" customHeight="1">
      <c r="A112" s="396" t="s">
        <v>62</v>
      </c>
      <c r="B112" s="691" t="s">
        <v>339</v>
      </c>
      <c r="C112" s="691"/>
      <c r="D112" s="74"/>
      <c r="E112" s="397"/>
      <c r="F112" s="398"/>
      <c r="G112" s="398"/>
      <c r="H112" s="398"/>
      <c r="I112" s="398"/>
      <c r="J112" s="398"/>
      <c r="K112" s="398"/>
      <c r="L112" s="398"/>
      <c r="M112" s="398"/>
      <c r="N112" s="398"/>
      <c r="O112" s="399"/>
    </row>
    <row r="113" spans="1:15" ht="25.5">
      <c r="A113" s="396"/>
      <c r="B113" s="76"/>
      <c r="C113" s="46" t="s">
        <v>291</v>
      </c>
      <c r="D113" s="57" t="s">
        <v>238</v>
      </c>
      <c r="E113" s="78">
        <f>'Dữ liệu cơ bản'!I7</f>
        <v>34</v>
      </c>
      <c r="F113" s="336"/>
      <c r="G113" s="336"/>
      <c r="H113" s="336"/>
      <c r="I113" s="336"/>
      <c r="J113" s="336"/>
      <c r="K113" s="336"/>
      <c r="L113" s="336"/>
      <c r="M113" s="336"/>
      <c r="N113" s="336"/>
      <c r="O113" s="337"/>
    </row>
    <row r="114" spans="1:15" ht="25.5">
      <c r="A114" s="396"/>
      <c r="B114" s="76"/>
      <c r="C114" s="46" t="s">
        <v>345</v>
      </c>
      <c r="D114" s="57" t="s">
        <v>238</v>
      </c>
      <c r="E114" s="336">
        <f>'Dữ liệu cơ bản'!I6</f>
        <v>25956</v>
      </c>
      <c r="F114" s="336"/>
      <c r="G114" s="336"/>
      <c r="H114" s="336"/>
      <c r="I114" s="336"/>
      <c r="J114" s="336"/>
      <c r="K114" s="336"/>
      <c r="L114" s="336"/>
      <c r="M114" s="336"/>
      <c r="N114" s="336"/>
      <c r="O114" s="337"/>
    </row>
    <row r="115" spans="1:15" ht="25.5">
      <c r="A115" s="396"/>
      <c r="B115" s="498"/>
      <c r="C115" s="47" t="s">
        <v>243</v>
      </c>
      <c r="D115" s="58" t="s">
        <v>88</v>
      </c>
      <c r="E115" s="167">
        <f>'Dữ liệu theo hoạt động'!$E$59</f>
        <v>1926</v>
      </c>
      <c r="F115" s="336"/>
      <c r="G115" s="336"/>
      <c r="H115" s="336"/>
      <c r="I115" s="336"/>
      <c r="J115" s="336"/>
      <c r="K115" s="336"/>
      <c r="L115" s="336"/>
      <c r="M115" s="336"/>
      <c r="N115" s="336"/>
      <c r="O115" s="337"/>
    </row>
    <row r="116" spans="1:16" ht="30" customHeight="1">
      <c r="A116" s="396" t="s">
        <v>62</v>
      </c>
      <c r="B116" s="692" t="s">
        <v>294</v>
      </c>
      <c r="C116" s="692"/>
      <c r="D116" s="400" t="s">
        <v>89</v>
      </c>
      <c r="E116" s="407">
        <f>SUM(F116:O116)</f>
        <v>3588789169.845968</v>
      </c>
      <c r="F116" s="398">
        <f>E117*E118*(E120-E119)/1000</f>
        <v>287999456</v>
      </c>
      <c r="G116" s="398">
        <f>F116*(1+'Dữ liệu theo hoạt động'!$E$60)</f>
        <v>301823429.888</v>
      </c>
      <c r="H116" s="398">
        <f>G116*(1+'Dữ liệu theo hoạt động'!$E$60)</f>
        <v>316310954.522624</v>
      </c>
      <c r="I116" s="398">
        <f>H116*(1+'Dữ liệu theo hoạt động'!$E$60)</f>
        <v>331493880.33971</v>
      </c>
      <c r="J116" s="398">
        <f>I116*(1+'Dữ liệu theo hoạt động'!$E$60)</f>
        <v>347405586.5960161</v>
      </c>
      <c r="K116" s="398">
        <f>J116*(1+'Dữ liệu theo hoạt động'!$E$60)</f>
        <v>364081054.75262487</v>
      </c>
      <c r="L116" s="398">
        <f>K116*(1+'Dữ liệu theo hoạt động'!$E$60)</f>
        <v>381556945.3807509</v>
      </c>
      <c r="M116" s="398">
        <f>L116*(1+'Dữ liệu theo hoạt động'!$E$60)</f>
        <v>399871678.75902694</v>
      </c>
      <c r="N116" s="398">
        <f>M116*(1+'Dữ liệu theo hoạt động'!$E$60)</f>
        <v>419065519.33946025</v>
      </c>
      <c r="O116" s="399">
        <f>N116*(1+'Dữ liệu theo hoạt động'!$E$60)</f>
        <v>439180664.2677544</v>
      </c>
      <c r="P116" s="106" t="s">
        <v>387</v>
      </c>
    </row>
    <row r="117" spans="1:15" ht="27.75" customHeight="1">
      <c r="A117" s="396"/>
      <c r="B117" s="309"/>
      <c r="C117" s="46" t="s">
        <v>295</v>
      </c>
      <c r="D117" s="57" t="s">
        <v>319</v>
      </c>
      <c r="E117" s="333">
        <f>'Dữ liệu theo hoạt động'!$E$5</f>
        <v>10</v>
      </c>
      <c r="F117" s="336"/>
      <c r="G117" s="336"/>
      <c r="H117" s="336"/>
      <c r="I117" s="336"/>
      <c r="J117" s="336"/>
      <c r="K117" s="336"/>
      <c r="L117" s="336"/>
      <c r="M117" s="336"/>
      <c r="N117" s="336"/>
      <c r="O117" s="337"/>
    </row>
    <row r="118" spans="1:15" ht="28.5" customHeight="1">
      <c r="A118" s="396"/>
      <c r="B118" s="309"/>
      <c r="C118" s="47" t="s">
        <v>296</v>
      </c>
      <c r="D118" s="58" t="s">
        <v>64</v>
      </c>
      <c r="E118" s="324">
        <f>'Dữ liệu theo hoạt động'!$E$6</f>
        <v>1196806.25</v>
      </c>
      <c r="F118" s="336"/>
      <c r="G118" s="336"/>
      <c r="H118" s="336"/>
      <c r="I118" s="336"/>
      <c r="J118" s="336"/>
      <c r="K118" s="336"/>
      <c r="L118" s="336"/>
      <c r="M118" s="336"/>
      <c r="N118" s="336"/>
      <c r="O118" s="337"/>
    </row>
    <row r="119" spans="1:15" ht="28.5" customHeight="1">
      <c r="A119" s="396"/>
      <c r="B119" s="309"/>
      <c r="C119" s="47" t="s">
        <v>243</v>
      </c>
      <c r="D119" s="58" t="s">
        <v>88</v>
      </c>
      <c r="E119" s="167">
        <f>$E$42</f>
        <v>1926</v>
      </c>
      <c r="F119" s="336"/>
      <c r="G119" s="336"/>
      <c r="H119" s="336"/>
      <c r="I119" s="336"/>
      <c r="J119" s="336"/>
      <c r="K119" s="336"/>
      <c r="L119" s="336"/>
      <c r="M119" s="336"/>
      <c r="N119" s="336"/>
      <c r="O119" s="337"/>
    </row>
    <row r="120" spans="1:15" ht="25.5">
      <c r="A120" s="396"/>
      <c r="B120" s="309"/>
      <c r="C120" s="46" t="s">
        <v>349</v>
      </c>
      <c r="D120" s="57" t="s">
        <v>238</v>
      </c>
      <c r="E120" s="99">
        <f>E113+E114</f>
        <v>25990</v>
      </c>
      <c r="F120" s="336"/>
      <c r="G120" s="336"/>
      <c r="H120" s="336"/>
      <c r="I120" s="336"/>
      <c r="J120" s="336"/>
      <c r="K120" s="336"/>
      <c r="L120" s="336"/>
      <c r="M120" s="336"/>
      <c r="N120" s="336"/>
      <c r="O120" s="337"/>
    </row>
    <row r="121" spans="1:15" ht="29.25" customHeight="1">
      <c r="A121" s="396" t="s">
        <v>62</v>
      </c>
      <c r="B121" s="692" t="s">
        <v>195</v>
      </c>
      <c r="C121" s="692"/>
      <c r="D121" s="400" t="s">
        <v>89</v>
      </c>
      <c r="E121" s="401">
        <f>SUM(F121:O121)</f>
        <v>2172178500</v>
      </c>
      <c r="F121" s="398">
        <f>E123*E124/1000+E122</f>
        <v>2172178500</v>
      </c>
      <c r="G121" s="398">
        <v>0</v>
      </c>
      <c r="H121" s="398">
        <v>0</v>
      </c>
      <c r="I121" s="398">
        <v>0</v>
      </c>
      <c r="J121" s="398">
        <v>0</v>
      </c>
      <c r="K121" s="398">
        <v>0</v>
      </c>
      <c r="L121" s="398">
        <v>0</v>
      </c>
      <c r="M121" s="398">
        <v>0</v>
      </c>
      <c r="N121" s="398">
        <v>0</v>
      </c>
      <c r="O121" s="399">
        <v>0</v>
      </c>
    </row>
    <row r="122" spans="1:15" ht="29.25" customHeight="1">
      <c r="A122" s="396"/>
      <c r="B122" s="119"/>
      <c r="C122" s="120" t="s">
        <v>347</v>
      </c>
      <c r="D122" s="363" t="s">
        <v>89</v>
      </c>
      <c r="E122" s="364">
        <f>100000*3*'Dữ liệu cơ bản'!$D$24/1000</f>
        <v>6418500</v>
      </c>
      <c r="F122" s="336"/>
      <c r="G122" s="336"/>
      <c r="H122" s="336"/>
      <c r="I122" s="336"/>
      <c r="J122" s="336"/>
      <c r="K122" s="336"/>
      <c r="L122" s="336"/>
      <c r="M122" s="336"/>
      <c r="N122" s="336"/>
      <c r="O122" s="337"/>
    </row>
    <row r="123" spans="1:15" ht="25.5">
      <c r="A123" s="396"/>
      <c r="B123" s="498"/>
      <c r="C123" s="47" t="s">
        <v>202</v>
      </c>
      <c r="D123" s="58" t="s">
        <v>64</v>
      </c>
      <c r="E123" s="324">
        <f>'Dữ liệu theo hoạt động'!$E$13</f>
        <v>90000000</v>
      </c>
      <c r="F123" s="336"/>
      <c r="G123" s="336"/>
      <c r="H123" s="336"/>
      <c r="I123" s="336"/>
      <c r="J123" s="336"/>
      <c r="K123" s="336"/>
      <c r="L123" s="336"/>
      <c r="M123" s="336"/>
      <c r="N123" s="336"/>
      <c r="O123" s="337"/>
    </row>
    <row r="124" spans="1:15" ht="25.5">
      <c r="A124" s="396"/>
      <c r="B124" s="498"/>
      <c r="C124" s="47" t="s">
        <v>299</v>
      </c>
      <c r="D124" s="58" t="s">
        <v>65</v>
      </c>
      <c r="E124" s="365">
        <f>E114+E113-E115</f>
        <v>24064</v>
      </c>
      <c r="F124" s="336"/>
      <c r="G124" s="336"/>
      <c r="H124" s="336"/>
      <c r="I124" s="336"/>
      <c r="J124" s="336"/>
      <c r="K124" s="336"/>
      <c r="L124" s="336"/>
      <c r="M124" s="336"/>
      <c r="N124" s="336"/>
      <c r="O124" s="337"/>
    </row>
    <row r="125" spans="1:15" ht="28.5" customHeight="1">
      <c r="A125" s="396" t="s">
        <v>62</v>
      </c>
      <c r="B125" s="692" t="s">
        <v>203</v>
      </c>
      <c r="C125" s="692"/>
      <c r="D125" s="400" t="s">
        <v>89</v>
      </c>
      <c r="E125" s="401">
        <f>SUM(F125:O125)</f>
        <v>5829550419.141558</v>
      </c>
      <c r="F125" s="398">
        <f>E126*E127*E128/1000</f>
        <v>467820000</v>
      </c>
      <c r="G125" s="398">
        <f>F125*(1+'Dữ liệu theo hoạt động'!$E$60)</f>
        <v>490275360</v>
      </c>
      <c r="H125" s="398">
        <f>G125*(1+'Dữ liệu theo hoạt động'!$E$60)</f>
        <v>513808577.28000003</v>
      </c>
      <c r="I125" s="398">
        <f>H125*(1+'Dữ liệu theo hoạt động'!$E$60)</f>
        <v>538471388.9894401</v>
      </c>
      <c r="J125" s="398">
        <f>I125*(1+'Dữ liệu theo hoạt động'!$E$60)</f>
        <v>564318015.6609333</v>
      </c>
      <c r="K125" s="398">
        <f>J125*(1+'Dữ liệu theo hoạt động'!$E$60)</f>
        <v>591405280.4126581</v>
      </c>
      <c r="L125" s="398">
        <f>K125*(1+'Dữ liệu theo hoạt động'!$E$60)</f>
        <v>619792733.8724657</v>
      </c>
      <c r="M125" s="398">
        <f>L125*(1+'Dữ liệu theo hoạt động'!$E$60)</f>
        <v>649542785.0983441</v>
      </c>
      <c r="N125" s="398">
        <f>M125*(1+'Dữ liệu theo hoạt động'!$E$60)</f>
        <v>680720838.7830646</v>
      </c>
      <c r="O125" s="399">
        <f>N125*(1+'Dữ liệu theo hoạt động'!$E$60)</f>
        <v>713395439.0446517</v>
      </c>
    </row>
    <row r="126" spans="1:16" ht="27.75" customHeight="1">
      <c r="A126" s="396"/>
      <c r="B126" s="506"/>
      <c r="C126" s="46" t="s">
        <v>204</v>
      </c>
      <c r="D126" s="57" t="s">
        <v>69</v>
      </c>
      <c r="E126" s="320">
        <f>'Dữ liệu theo hoạt động'!$E$15</f>
        <v>0.2</v>
      </c>
      <c r="F126" s="336"/>
      <c r="G126" s="336"/>
      <c r="H126" s="336"/>
      <c r="I126" s="336"/>
      <c r="J126" s="336"/>
      <c r="K126" s="336"/>
      <c r="L126" s="336"/>
      <c r="M126" s="336"/>
      <c r="N126" s="336"/>
      <c r="O126" s="337"/>
      <c r="P126" s="106" t="s">
        <v>387</v>
      </c>
    </row>
    <row r="127" spans="1:15" ht="25.5">
      <c r="A127" s="396"/>
      <c r="B127" s="498"/>
      <c r="C127" s="47" t="s">
        <v>202</v>
      </c>
      <c r="D127" s="323" t="s">
        <v>64</v>
      </c>
      <c r="E127" s="324">
        <f>'Dữ liệu theo hoạt động'!$E$13</f>
        <v>90000000</v>
      </c>
      <c r="F127" s="336"/>
      <c r="G127" s="336"/>
      <c r="H127" s="336"/>
      <c r="I127" s="336"/>
      <c r="J127" s="336"/>
      <c r="K127" s="336"/>
      <c r="L127" s="336"/>
      <c r="M127" s="336"/>
      <c r="N127" s="336"/>
      <c r="O127" s="337"/>
    </row>
    <row r="128" spans="1:15" ht="25.5">
      <c r="A128" s="396"/>
      <c r="B128" s="498"/>
      <c r="C128" s="47" t="s">
        <v>348</v>
      </c>
      <c r="D128" s="57" t="s">
        <v>292</v>
      </c>
      <c r="E128" s="167">
        <f>E113+E114</f>
        <v>25990</v>
      </c>
      <c r="F128" s="336"/>
      <c r="G128" s="336"/>
      <c r="H128" s="336"/>
      <c r="I128" s="336"/>
      <c r="J128" s="336"/>
      <c r="K128" s="336"/>
      <c r="L128" s="336"/>
      <c r="M128" s="336"/>
      <c r="N128" s="336"/>
      <c r="O128" s="337"/>
    </row>
    <row r="129" spans="1:15" ht="24.75" customHeight="1">
      <c r="A129" s="396" t="s">
        <v>62</v>
      </c>
      <c r="B129" s="692" t="s">
        <v>210</v>
      </c>
      <c r="C129" s="692"/>
      <c r="D129" s="400" t="s">
        <v>86</v>
      </c>
      <c r="E129" s="401">
        <f>SUM(F129:O129)</f>
        <v>12171604953.559444</v>
      </c>
      <c r="F129" s="398">
        <f>(E130+E131)*E133/1000</f>
        <v>233910000</v>
      </c>
      <c r="G129" s="398">
        <f>E133*(E134+E135)/1000</f>
        <v>1091580000</v>
      </c>
      <c r="H129" s="398">
        <f>G129*(1+'Dữ liệu theo hoạt động'!$E$60)</f>
        <v>1143975840</v>
      </c>
      <c r="I129" s="398">
        <f>H129*(1+'Dữ liệu theo hoạt động'!$E$60)</f>
        <v>1198886680.32</v>
      </c>
      <c r="J129" s="398">
        <f>I129*(1+'Dữ liệu theo hoạt động'!$E$60)</f>
        <v>1256433240.97536</v>
      </c>
      <c r="K129" s="398">
        <f>J129*(1+'Dữ liệu theo hoạt động'!$E$60)</f>
        <v>1316742036.5421772</v>
      </c>
      <c r="L129" s="398">
        <f>K129*(1+'Dữ liệu theo hoạt động'!$E$60)</f>
        <v>1379945654.2962017</v>
      </c>
      <c r="M129" s="398">
        <f>L129*(1+'Dữ liệu theo hoạt động'!$E$60)</f>
        <v>1446183045.7024195</v>
      </c>
      <c r="N129" s="398">
        <f>M129*(1+'Dữ liệu theo hoạt động'!$E$60)</f>
        <v>1515599831.8961358</v>
      </c>
      <c r="O129" s="399">
        <f>N129*(1+'Dữ liệu theo hoạt động'!$E$60)</f>
        <v>1588348623.8271503</v>
      </c>
    </row>
    <row r="130" spans="1:16" ht="26.25" customHeight="1">
      <c r="A130" s="396"/>
      <c r="B130" s="309"/>
      <c r="C130" s="47" t="s">
        <v>211</v>
      </c>
      <c r="D130" s="323" t="s">
        <v>64</v>
      </c>
      <c r="E130" s="324">
        <f>'Dữ liệu theo hoạt động'!$E$21</f>
        <v>8000000</v>
      </c>
      <c r="F130" s="336"/>
      <c r="G130" s="336"/>
      <c r="H130" s="336"/>
      <c r="I130" s="336"/>
      <c r="J130" s="336"/>
      <c r="K130" s="336"/>
      <c r="L130" s="336"/>
      <c r="M130" s="336"/>
      <c r="N130" s="336"/>
      <c r="O130" s="337"/>
      <c r="P130" s="106" t="s">
        <v>387</v>
      </c>
    </row>
    <row r="131" spans="1:15" ht="28.5" customHeight="1">
      <c r="A131" s="396"/>
      <c r="B131" s="309"/>
      <c r="C131" s="47" t="s">
        <v>212</v>
      </c>
      <c r="D131" s="323" t="s">
        <v>64</v>
      </c>
      <c r="E131" s="324">
        <f>'Dữ liệu theo hoạt động'!$E$22</f>
        <v>1000000</v>
      </c>
      <c r="F131" s="336"/>
      <c r="G131" s="336"/>
      <c r="H131" s="336"/>
      <c r="I131" s="336"/>
      <c r="J131" s="336"/>
      <c r="K131" s="336"/>
      <c r="L131" s="336"/>
      <c r="M131" s="336"/>
      <c r="N131" s="336"/>
      <c r="O131" s="337"/>
    </row>
    <row r="132" spans="1:15" ht="28.5" customHeight="1">
      <c r="A132" s="396"/>
      <c r="B132" s="309"/>
      <c r="C132" s="47" t="s">
        <v>213</v>
      </c>
      <c r="D132" s="323" t="s">
        <v>64</v>
      </c>
      <c r="E132" s="324">
        <v>3000000</v>
      </c>
      <c r="F132" s="336"/>
      <c r="G132" s="336"/>
      <c r="H132" s="336"/>
      <c r="I132" s="336"/>
      <c r="J132" s="336"/>
      <c r="K132" s="336"/>
      <c r="L132" s="336"/>
      <c r="M132" s="336"/>
      <c r="N132" s="336"/>
      <c r="O132" s="337"/>
    </row>
    <row r="133" spans="1:15" ht="25.5">
      <c r="A133" s="396"/>
      <c r="B133" s="309"/>
      <c r="C133" s="47" t="s">
        <v>301</v>
      </c>
      <c r="D133" s="58" t="s">
        <v>88</v>
      </c>
      <c r="E133" s="167">
        <f>E113+E114</f>
        <v>25990</v>
      </c>
      <c r="F133" s="336"/>
      <c r="G133" s="336"/>
      <c r="H133" s="336"/>
      <c r="I133" s="336"/>
      <c r="J133" s="336"/>
      <c r="K133" s="336"/>
      <c r="L133" s="336"/>
      <c r="M133" s="336"/>
      <c r="N133" s="336"/>
      <c r="O133" s="337"/>
    </row>
    <row r="134" spans="1:15" ht="25.5">
      <c r="A134" s="396"/>
      <c r="B134" s="309"/>
      <c r="C134" s="47" t="s">
        <v>214</v>
      </c>
      <c r="D134" s="58" t="s">
        <v>64</v>
      </c>
      <c r="E134" s="324">
        <v>41000000</v>
      </c>
      <c r="F134" s="336"/>
      <c r="G134" s="336"/>
      <c r="H134" s="336"/>
      <c r="I134" s="336"/>
      <c r="J134" s="336"/>
      <c r="K134" s="336"/>
      <c r="L134" s="336"/>
      <c r="M134" s="336"/>
      <c r="N134" s="336"/>
      <c r="O134" s="337"/>
    </row>
    <row r="135" spans="1:15" ht="25.5">
      <c r="A135" s="396"/>
      <c r="B135" s="309"/>
      <c r="C135" s="47" t="s">
        <v>215</v>
      </c>
      <c r="D135" s="58" t="s">
        <v>64</v>
      </c>
      <c r="E135" s="324">
        <v>1000000</v>
      </c>
      <c r="F135" s="336"/>
      <c r="G135" s="336"/>
      <c r="H135" s="336"/>
      <c r="I135" s="336"/>
      <c r="J135" s="336"/>
      <c r="K135" s="336"/>
      <c r="L135" s="336"/>
      <c r="M135" s="336"/>
      <c r="N135" s="336"/>
      <c r="O135" s="337"/>
    </row>
    <row r="136" spans="1:15" ht="24.75" customHeight="1">
      <c r="A136" s="396" t="s">
        <v>62</v>
      </c>
      <c r="B136" s="692" t="s">
        <v>205</v>
      </c>
      <c r="C136" s="692"/>
      <c r="D136" s="400" t="s">
        <v>86</v>
      </c>
      <c r="E136" s="401">
        <f>SUM(F136:O136)</f>
        <v>285849830.1146066</v>
      </c>
      <c r="F136" s="398">
        <f>E139*E140*(E141*E143+E142*E144)/1000</f>
        <v>22939379.18181818</v>
      </c>
      <c r="G136" s="398">
        <f>F136*(1+'Dữ liệu theo hoạt động'!$E$60)</f>
        <v>24040469.382545453</v>
      </c>
      <c r="H136" s="398">
        <f>G136*(1+'Dữ liệu theo hoạt động'!$E$60)</f>
        <v>25194411.912907634</v>
      </c>
      <c r="I136" s="398">
        <f>H136*(1+'Dữ liệu theo hoạt động'!$E$60)</f>
        <v>26403743.684727203</v>
      </c>
      <c r="J136" s="398">
        <f>I136*(1+'Dữ liệu theo hoạt động'!$E$60)</f>
        <v>27671123.38159411</v>
      </c>
      <c r="K136" s="398">
        <f>J136*(1+'Dữ liệu theo hoạt động'!$E$60)</f>
        <v>28999337.303910628</v>
      </c>
      <c r="L136" s="398">
        <f>K136*(1+'Dữ liệu theo hoạt động'!$E$60)</f>
        <v>30391305.49449834</v>
      </c>
      <c r="M136" s="398">
        <f>L136*(1+'Dữ liệu theo hoạt động'!$E$60)</f>
        <v>31850088.15823426</v>
      </c>
      <c r="N136" s="398">
        <f>M136*(1+'Dữ liệu theo hoạt động'!$E$60)</f>
        <v>33378892.389829505</v>
      </c>
      <c r="O136" s="399">
        <f>N136*(1+'Dữ liệu theo hoạt động'!$E$60)</f>
        <v>34981079.22454132</v>
      </c>
    </row>
    <row r="137" spans="1:16" ht="26.25" customHeight="1">
      <c r="A137" s="396" t="s">
        <v>62</v>
      </c>
      <c r="B137" s="515"/>
      <c r="C137" s="515" t="s">
        <v>302</v>
      </c>
      <c r="D137" s="400" t="s">
        <v>86</v>
      </c>
      <c r="E137" s="401">
        <f>SUM(F137:O137)</f>
        <v>144095652.6834092</v>
      </c>
      <c r="F137" s="398">
        <f>E139*E140*E141*E143/1000</f>
        <v>11563641</v>
      </c>
      <c r="G137" s="398">
        <f>F137*(1+'Dữ liệu theo hoạt động'!$E$60)</f>
        <v>12118695.768000001</v>
      </c>
      <c r="H137" s="398">
        <f>G137*(1+'Dữ liệu theo hoạt động'!$E$60)</f>
        <v>12700393.164864002</v>
      </c>
      <c r="I137" s="398">
        <f>H137*(1+'Dữ liệu theo hoạt động'!$E$60)</f>
        <v>13310012.036777474</v>
      </c>
      <c r="J137" s="398">
        <f>I137*(1+'Dữ liệu theo hoạt động'!$E$60)</f>
        <v>13948892.614542793</v>
      </c>
      <c r="K137" s="398">
        <f>J137*(1+'Dữ liệu theo hoạt động'!$E$60)</f>
        <v>14618439.460040849</v>
      </c>
      <c r="L137" s="398">
        <f>K137*(1+'Dữ liệu theo hoạt động'!$E$60)</f>
        <v>15320124.55412281</v>
      </c>
      <c r="M137" s="398">
        <f>L137*(1+'Dữ liệu theo hoạt động'!$E$60)</f>
        <v>16055490.532720705</v>
      </c>
      <c r="N137" s="398">
        <f>M137*(1+'Dữ liệu theo hoạt động'!$E$60)</f>
        <v>16826154.0782913</v>
      </c>
      <c r="O137" s="399">
        <f>N137*(1+'Dữ liệu theo hoạt động'!$E$60)</f>
        <v>17633809.474049285</v>
      </c>
      <c r="P137" s="315" t="s">
        <v>387</v>
      </c>
    </row>
    <row r="138" spans="1:16" ht="28.5" customHeight="1">
      <c r="A138" s="396" t="s">
        <v>62</v>
      </c>
      <c r="B138" s="515"/>
      <c r="C138" s="515" t="s">
        <v>346</v>
      </c>
      <c r="D138" s="400" t="s">
        <v>86</v>
      </c>
      <c r="E138" s="401">
        <f>SUM(F138:O138)</f>
        <v>141754177.43119746</v>
      </c>
      <c r="F138" s="398">
        <f>E139*E140*E142*E144/1000</f>
        <v>11375738.181818182</v>
      </c>
      <c r="G138" s="398">
        <f>F138*(1+'Dữ liệu theo hoạt động'!$E$60)</f>
        <v>11921773.614545455</v>
      </c>
      <c r="H138" s="398">
        <f>G138*(1+'Dữ liệu theo hoạt động'!$E$60)</f>
        <v>12494018.748043638</v>
      </c>
      <c r="I138" s="398">
        <f>H138*(1+'Dữ liệu theo hoạt động'!$E$60)</f>
        <v>13093731.647949733</v>
      </c>
      <c r="J138" s="398">
        <f>I138*(1+'Dữ liệu theo hoạt động'!$E$60)</f>
        <v>13722230.76705132</v>
      </c>
      <c r="K138" s="398">
        <f>J138*(1+'Dữ liệu theo hoạt động'!$E$60)</f>
        <v>14380897.843869785</v>
      </c>
      <c r="L138" s="398">
        <f>K138*(1+'Dữ liệu theo hoạt động'!$E$60)</f>
        <v>15071180.940375535</v>
      </c>
      <c r="M138" s="398">
        <f>L138*(1+'Dữ liệu theo hoạt động'!$E$60)</f>
        <v>15794597.625513561</v>
      </c>
      <c r="N138" s="398">
        <f>M138*(1+'Dữ liệu theo hoạt động'!$E$60)</f>
        <v>16552738.311538212</v>
      </c>
      <c r="O138" s="399">
        <f>N138*(1+'Dữ liệu theo hoạt động'!$E$60)</f>
        <v>17347269.750492048</v>
      </c>
      <c r="P138" s="315" t="s">
        <v>387</v>
      </c>
    </row>
    <row r="139" spans="1:16" ht="25.5" customHeight="1">
      <c r="A139" s="396"/>
      <c r="B139" s="506"/>
      <c r="C139" s="46" t="s">
        <v>351</v>
      </c>
      <c r="D139" s="57" t="s">
        <v>303</v>
      </c>
      <c r="E139" s="75">
        <f>E28*15%</f>
        <v>357523.2</v>
      </c>
      <c r="F139" s="336"/>
      <c r="G139" s="336"/>
      <c r="H139" s="336"/>
      <c r="I139" s="336"/>
      <c r="J139" s="336"/>
      <c r="K139" s="336"/>
      <c r="L139" s="336"/>
      <c r="M139" s="336"/>
      <c r="N139" s="336"/>
      <c r="O139" s="337"/>
      <c r="P139" s="315" t="s">
        <v>387</v>
      </c>
    </row>
    <row r="140" spans="1:15" ht="25.5" customHeight="1">
      <c r="A140" s="396"/>
      <c r="B140" s="506"/>
      <c r="C140" s="46" t="s">
        <v>206</v>
      </c>
      <c r="D140" s="57" t="s">
        <v>65</v>
      </c>
      <c r="E140" s="366">
        <f>'Dữ liệu theo hoạt động'!$E$17</f>
        <v>0.05</v>
      </c>
      <c r="F140" s="336"/>
      <c r="G140" s="336"/>
      <c r="H140" s="336"/>
      <c r="I140" s="336"/>
      <c r="J140" s="336"/>
      <c r="K140" s="336"/>
      <c r="L140" s="336"/>
      <c r="M140" s="336"/>
      <c r="N140" s="336"/>
      <c r="O140" s="337"/>
    </row>
    <row r="141" spans="1:15" ht="25.5" customHeight="1">
      <c r="A141" s="396"/>
      <c r="B141" s="309"/>
      <c r="C141" s="47" t="s">
        <v>208</v>
      </c>
      <c r="D141" s="58" t="s">
        <v>180</v>
      </c>
      <c r="E141" s="332">
        <f>'Dữ liệu theo hoạt động'!$E$18</f>
        <v>24</v>
      </c>
      <c r="F141" s="336"/>
      <c r="G141" s="336"/>
      <c r="H141" s="336"/>
      <c r="I141" s="336"/>
      <c r="J141" s="336"/>
      <c r="K141" s="336"/>
      <c r="L141" s="336"/>
      <c r="M141" s="336"/>
      <c r="N141" s="336"/>
      <c r="O141" s="337"/>
    </row>
    <row r="142" spans="1:15" ht="25.5" customHeight="1">
      <c r="A142" s="396"/>
      <c r="B142" s="309"/>
      <c r="C142" s="47" t="s">
        <v>282</v>
      </c>
      <c r="D142" s="58" t="s">
        <v>180</v>
      </c>
      <c r="E142" s="332">
        <f>'Dữ liệu theo hoạt động'!$E$19</f>
        <v>16</v>
      </c>
      <c r="F142" s="336"/>
      <c r="G142" s="336"/>
      <c r="H142" s="336"/>
      <c r="I142" s="336"/>
      <c r="J142" s="336"/>
      <c r="K142" s="336"/>
      <c r="L142" s="336"/>
      <c r="M142" s="336"/>
      <c r="N142" s="336"/>
      <c r="O142" s="337"/>
    </row>
    <row r="143" spans="1:15" ht="25.5" customHeight="1">
      <c r="A143" s="396"/>
      <c r="B143" s="309"/>
      <c r="C143" s="47" t="s">
        <v>304</v>
      </c>
      <c r="D143" s="323" t="s">
        <v>64</v>
      </c>
      <c r="E143" s="324">
        <f>'Dữ liệu cơ bản'!$D$2</f>
        <v>26953.125</v>
      </c>
      <c r="F143" s="336"/>
      <c r="G143" s="336"/>
      <c r="H143" s="336"/>
      <c r="I143" s="336"/>
      <c r="J143" s="336"/>
      <c r="K143" s="336"/>
      <c r="L143" s="336"/>
      <c r="M143" s="336"/>
      <c r="N143" s="336"/>
      <c r="O143" s="337"/>
    </row>
    <row r="144" spans="1:15" ht="25.5" customHeight="1">
      <c r="A144" s="396"/>
      <c r="B144" s="309"/>
      <c r="C144" s="46" t="s">
        <v>284</v>
      </c>
      <c r="D144" s="323" t="s">
        <v>64</v>
      </c>
      <c r="E144" s="333">
        <f>'Dữ liệu cơ bản'!$D$5</f>
        <v>39772.72727272727</v>
      </c>
      <c r="F144" s="336"/>
      <c r="G144" s="336"/>
      <c r="H144" s="336"/>
      <c r="I144" s="336"/>
      <c r="J144" s="336"/>
      <c r="K144" s="336"/>
      <c r="L144" s="336"/>
      <c r="M144" s="336"/>
      <c r="N144" s="336"/>
      <c r="O144" s="337"/>
    </row>
    <row r="145" spans="1:15" ht="28.5" customHeight="1">
      <c r="A145" s="396" t="s">
        <v>62</v>
      </c>
      <c r="B145" s="692" t="s">
        <v>241</v>
      </c>
      <c r="C145" s="692"/>
      <c r="D145" s="400" t="s">
        <v>87</v>
      </c>
      <c r="E145" s="402">
        <f>SUM(E146:E148)</f>
        <v>15850000</v>
      </c>
      <c r="F145" s="403"/>
      <c r="G145" s="398"/>
      <c r="H145" s="398"/>
      <c r="I145" s="398"/>
      <c r="J145" s="398"/>
      <c r="K145" s="398"/>
      <c r="L145" s="398"/>
      <c r="M145" s="398"/>
      <c r="N145" s="398"/>
      <c r="O145" s="399"/>
    </row>
    <row r="146" spans="1:15" ht="28.5" customHeight="1">
      <c r="A146" s="396"/>
      <c r="B146" s="309"/>
      <c r="C146" s="46" t="s">
        <v>341</v>
      </c>
      <c r="D146" s="67" t="s">
        <v>87</v>
      </c>
      <c r="E146" s="369">
        <f>'Dữ liệu theo hoạt động'!$E$55</f>
        <v>5200000</v>
      </c>
      <c r="F146" s="336"/>
      <c r="G146" s="336"/>
      <c r="H146" s="336"/>
      <c r="I146" s="336"/>
      <c r="J146" s="336"/>
      <c r="K146" s="336"/>
      <c r="L146" s="336"/>
      <c r="M146" s="336"/>
      <c r="N146" s="336"/>
      <c r="O146" s="337"/>
    </row>
    <row r="147" spans="1:15" ht="28.5" customHeight="1">
      <c r="A147" s="396"/>
      <c r="B147" s="309"/>
      <c r="C147" s="46" t="s">
        <v>342</v>
      </c>
      <c r="D147" s="67" t="s">
        <v>87</v>
      </c>
      <c r="E147" s="369">
        <f>'Dữ liệu theo hoạt động'!$E$56</f>
        <v>650000</v>
      </c>
      <c r="F147" s="336"/>
      <c r="G147" s="336"/>
      <c r="H147" s="336"/>
      <c r="I147" s="336"/>
      <c r="J147" s="336"/>
      <c r="K147" s="336"/>
      <c r="L147" s="336"/>
      <c r="M147" s="336"/>
      <c r="N147" s="336"/>
      <c r="O147" s="337"/>
    </row>
    <row r="148" spans="1:15" ht="28.5" customHeight="1">
      <c r="A148" s="396"/>
      <c r="B148" s="309"/>
      <c r="C148" s="46" t="s">
        <v>335</v>
      </c>
      <c r="D148" s="370" t="s">
        <v>414</v>
      </c>
      <c r="E148" s="369">
        <f>'Dữ liệu theo hoạt động'!$E$57</f>
        <v>10000000</v>
      </c>
      <c r="F148" s="336"/>
      <c r="G148" s="336"/>
      <c r="H148" s="336"/>
      <c r="I148" s="336"/>
      <c r="J148" s="336"/>
      <c r="K148" s="336"/>
      <c r="L148" s="336"/>
      <c r="M148" s="336"/>
      <c r="N148" s="336"/>
      <c r="O148" s="337"/>
    </row>
    <row r="149" spans="1:15" ht="26.25" customHeight="1">
      <c r="A149" s="396" t="s">
        <v>62</v>
      </c>
      <c r="B149" s="696" t="s">
        <v>216</v>
      </c>
      <c r="C149" s="696"/>
      <c r="D149" s="58"/>
      <c r="E149" s="167"/>
      <c r="F149" s="336"/>
      <c r="G149" s="336"/>
      <c r="H149" s="336"/>
      <c r="I149" s="336"/>
      <c r="J149" s="336"/>
      <c r="K149" s="336"/>
      <c r="L149" s="336"/>
      <c r="M149" s="336"/>
      <c r="N149" s="336"/>
      <c r="O149" s="337"/>
    </row>
    <row r="150" spans="1:15" ht="27.75" customHeight="1">
      <c r="A150" s="396" t="s">
        <v>62</v>
      </c>
      <c r="B150" s="704" t="s">
        <v>217</v>
      </c>
      <c r="C150" s="704"/>
      <c r="D150" s="74" t="s">
        <v>86</v>
      </c>
      <c r="E150" s="404">
        <f>SUM(F150:O150)</f>
        <v>1919141985.235528</v>
      </c>
      <c r="F150" s="405">
        <f>F153*(F154*F155+F156*F157)/1000</f>
        <v>201424203.4090909</v>
      </c>
      <c r="G150" s="405">
        <f>G153*(G154*G155+G156*G157)/1000</f>
        <v>189983308.65545452</v>
      </c>
      <c r="H150" s="405">
        <f aca="true" t="shared" si="17" ref="H150:O150">H153*(H154*H155+H156*H157)/1000</f>
        <v>191842450.70621893</v>
      </c>
      <c r="I150" s="405">
        <f t="shared" si="17"/>
        <v>192877462.4702999</v>
      </c>
      <c r="J150" s="405">
        <f t="shared" si="17"/>
        <v>193175967.10981485</v>
      </c>
      <c r="K150" s="405">
        <f t="shared" si="17"/>
        <v>192818292.6377607</v>
      </c>
      <c r="L150" s="405">
        <f t="shared" si="17"/>
        <v>191878017.95360357</v>
      </c>
      <c r="M150" s="405">
        <f t="shared" si="17"/>
        <v>190422480.385127</v>
      </c>
      <c r="N150" s="405">
        <f t="shared" si="17"/>
        <v>188513247.3477868</v>
      </c>
      <c r="O150" s="406">
        <f t="shared" si="17"/>
        <v>186206554.56037068</v>
      </c>
    </row>
    <row r="151" spans="1:16" ht="25.5" customHeight="1">
      <c r="A151" s="396" t="s">
        <v>62</v>
      </c>
      <c r="B151" s="511"/>
      <c r="C151" s="515" t="s">
        <v>352</v>
      </c>
      <c r="D151" s="74" t="s">
        <v>86</v>
      </c>
      <c r="E151" s="404">
        <f>SUM(F151:O151)</f>
        <v>1126756694.3017511</v>
      </c>
      <c r="F151" s="405">
        <f>F153*F154*F155/1000</f>
        <v>144545512.5</v>
      </c>
      <c r="G151" s="405">
        <f>G153*G154*G155/1000</f>
        <v>136335327.39</v>
      </c>
      <c r="H151" s="405">
        <f aca="true" t="shared" si="18" ref="H151:O151">H153*H154*H155/1000</f>
        <v>128591480.794248</v>
      </c>
      <c r="I151" s="405">
        <f t="shared" si="18"/>
        <v>121287484.68513474</v>
      </c>
      <c r="J151" s="405">
        <f t="shared" si="18"/>
        <v>114398355.5550191</v>
      </c>
      <c r="K151" s="405">
        <f t="shared" si="18"/>
        <v>107900528.95949404</v>
      </c>
      <c r="L151" s="405">
        <f t="shared" si="18"/>
        <v>101771778.91459477</v>
      </c>
      <c r="M151" s="405">
        <f t="shared" si="18"/>
        <v>95991141.8722458</v>
      </c>
      <c r="N151" s="405">
        <f t="shared" si="18"/>
        <v>90538845.01390223</v>
      </c>
      <c r="O151" s="406">
        <f t="shared" si="18"/>
        <v>85396238.6171126</v>
      </c>
      <c r="P151" s="315" t="s">
        <v>387</v>
      </c>
    </row>
    <row r="152" spans="1:16" ht="27" customHeight="1">
      <c r="A152" s="396" t="s">
        <v>62</v>
      </c>
      <c r="B152" s="511"/>
      <c r="C152" s="515" t="s">
        <v>362</v>
      </c>
      <c r="D152" s="74" t="s">
        <v>86</v>
      </c>
      <c r="E152" s="404">
        <f>SUM(F152:O152)</f>
        <v>792385290.9337766</v>
      </c>
      <c r="F152" s="405">
        <f>F153*F156*F157/1000</f>
        <v>56878690.909090914</v>
      </c>
      <c r="G152" s="405">
        <f>G153*G156*G157/1000</f>
        <v>53647981.26545455</v>
      </c>
      <c r="H152" s="405">
        <f aca="true" t="shared" si="19" ref="H152:O152">H153*H156*H157/1000</f>
        <v>63250969.911970906</v>
      </c>
      <c r="I152" s="405">
        <f t="shared" si="19"/>
        <v>71589977.78516516</v>
      </c>
      <c r="J152" s="405">
        <f t="shared" si="19"/>
        <v>78777611.55479574</v>
      </c>
      <c r="K152" s="405">
        <f t="shared" si="19"/>
        <v>84917763.67826669</v>
      </c>
      <c r="L152" s="405">
        <f t="shared" si="19"/>
        <v>90106239.03900881</v>
      </c>
      <c r="M152" s="405">
        <f t="shared" si="19"/>
        <v>94431338.51288122</v>
      </c>
      <c r="N152" s="405">
        <f t="shared" si="19"/>
        <v>97974402.33388454</v>
      </c>
      <c r="O152" s="406">
        <f t="shared" si="19"/>
        <v>100810315.94325809</v>
      </c>
      <c r="P152" s="315" t="s">
        <v>387</v>
      </c>
    </row>
    <row r="153" spans="1:16" ht="51">
      <c r="A153" s="396"/>
      <c r="B153" s="334"/>
      <c r="C153" s="46" t="s">
        <v>363</v>
      </c>
      <c r="D153" s="57" t="s">
        <v>219</v>
      </c>
      <c r="E153" s="75">
        <f>E139</f>
        <v>357523.2</v>
      </c>
      <c r="F153" s="321">
        <f>E153</f>
        <v>357523.2</v>
      </c>
      <c r="G153" s="167">
        <f>F153*(1-'Dữ liệu theo hoạt động'!$E$34)</f>
        <v>321770.88</v>
      </c>
      <c r="H153" s="167">
        <f>G153*(1-'Dữ liệu theo hoạt động'!$E$34)</f>
        <v>289593.792</v>
      </c>
      <c r="I153" s="167">
        <f>H153*(1-'Dữ liệu theo hoạt động'!$E$34)</f>
        <v>260634.41280000002</v>
      </c>
      <c r="J153" s="167">
        <f>I153*(1-'Dữ liệu theo hoạt động'!$E$34)</f>
        <v>234570.97152000002</v>
      </c>
      <c r="K153" s="167">
        <f>J153*(1-'Dữ liệu theo hoạt động'!$E$34)</f>
        <v>211113.87436800002</v>
      </c>
      <c r="L153" s="167">
        <f>K153*(1-'Dữ liệu theo hoạt động'!$E$34)</f>
        <v>190002.48693120002</v>
      </c>
      <c r="M153" s="167">
        <f>L153*(1-'Dữ liệu theo hoạt động'!$E$34)</f>
        <v>171002.23823808003</v>
      </c>
      <c r="N153" s="167">
        <f>M153*(1-'Dữ liệu theo hoạt động'!$E$34)</f>
        <v>153902.01441427204</v>
      </c>
      <c r="O153" s="374">
        <f>N153*(1-'Dữ liệu theo hoạt động'!$E$34)</f>
        <v>138511.81297284484</v>
      </c>
      <c r="P153" s="315" t="s">
        <v>387</v>
      </c>
    </row>
    <row r="154" spans="1:15" ht="27" customHeight="1">
      <c r="A154" s="396"/>
      <c r="B154" s="309"/>
      <c r="C154" s="47" t="s">
        <v>220</v>
      </c>
      <c r="D154" s="58" t="s">
        <v>180</v>
      </c>
      <c r="E154" s="321">
        <f>'Dữ liệu theo hoạt động'!$E$30</f>
        <v>15</v>
      </c>
      <c r="F154" s="321">
        <f>E154</f>
        <v>15</v>
      </c>
      <c r="G154" s="167">
        <f aca="true" t="shared" si="20" ref="G154:O154">F154</f>
        <v>15</v>
      </c>
      <c r="H154" s="167">
        <f t="shared" si="20"/>
        <v>15</v>
      </c>
      <c r="I154" s="167">
        <f t="shared" si="20"/>
        <v>15</v>
      </c>
      <c r="J154" s="167">
        <f t="shared" si="20"/>
        <v>15</v>
      </c>
      <c r="K154" s="167">
        <f t="shared" si="20"/>
        <v>15</v>
      </c>
      <c r="L154" s="167">
        <f t="shared" si="20"/>
        <v>15</v>
      </c>
      <c r="M154" s="167">
        <f t="shared" si="20"/>
        <v>15</v>
      </c>
      <c r="N154" s="167">
        <f t="shared" si="20"/>
        <v>15</v>
      </c>
      <c r="O154" s="374">
        <f t="shared" si="20"/>
        <v>15</v>
      </c>
    </row>
    <row r="155" spans="1:15" ht="27" customHeight="1">
      <c r="A155" s="396"/>
      <c r="B155" s="309"/>
      <c r="C155" s="47" t="s">
        <v>221</v>
      </c>
      <c r="D155" s="58" t="s">
        <v>64</v>
      </c>
      <c r="E155" s="321">
        <f>'Dữ liệu cơ bản'!$D$2</f>
        <v>26953.125</v>
      </c>
      <c r="F155" s="321">
        <f>E155</f>
        <v>26953.125</v>
      </c>
      <c r="G155" s="321">
        <f>F155*(1+'Dữ liệu theo hoạt động'!$E$60)</f>
        <v>28246.875</v>
      </c>
      <c r="H155" s="321">
        <f>G155*(1+'Dữ liệu theo hoạt động'!$E$60)</f>
        <v>29602.725000000002</v>
      </c>
      <c r="I155" s="321">
        <f>H155*(1+'Dữ liệu theo hoạt động'!$E$60)</f>
        <v>31023.655800000004</v>
      </c>
      <c r="J155" s="321">
        <f>I155*(1+'Dữ liệu theo hoạt động'!$E$60)</f>
        <v>32512.791278400007</v>
      </c>
      <c r="K155" s="321">
        <f>J155*(1+'Dữ liệu theo hoạt động'!$E$60)</f>
        <v>34073.40525976321</v>
      </c>
      <c r="L155" s="321">
        <f>K155*(1+'Dữ liệu theo hoạt động'!$E$60)</f>
        <v>35708.92871223185</v>
      </c>
      <c r="M155" s="321">
        <f>L155*(1+'Dữ liệu theo hoạt động'!$E$60)</f>
        <v>37422.95729041898</v>
      </c>
      <c r="N155" s="321">
        <f>M155*(1+'Dữ liệu theo hoạt động'!$E$60)</f>
        <v>39219.25924035909</v>
      </c>
      <c r="O155" s="338">
        <f>N155*(1+'Dữ liệu theo hoạt động'!$E$60)</f>
        <v>41101.78368389633</v>
      </c>
    </row>
    <row r="156" spans="1:15" ht="27" customHeight="1">
      <c r="A156" s="396"/>
      <c r="B156" s="309"/>
      <c r="C156" s="47" t="s">
        <v>306</v>
      </c>
      <c r="D156" s="58" t="s">
        <v>180</v>
      </c>
      <c r="E156" s="321">
        <f>'Dữ liệu theo hoạt động'!$E$32</f>
        <v>4</v>
      </c>
      <c r="F156" s="321">
        <f>E156</f>
        <v>4</v>
      </c>
      <c r="G156" s="321">
        <v>4</v>
      </c>
      <c r="H156" s="321">
        <v>5</v>
      </c>
      <c r="I156" s="321">
        <v>6</v>
      </c>
      <c r="J156" s="321">
        <v>7</v>
      </c>
      <c r="K156" s="321">
        <v>8</v>
      </c>
      <c r="L156" s="321">
        <v>9</v>
      </c>
      <c r="M156" s="321">
        <v>10</v>
      </c>
      <c r="N156" s="321">
        <v>11</v>
      </c>
      <c r="O156" s="338">
        <v>12</v>
      </c>
    </row>
    <row r="157" spans="1:15" ht="27" customHeight="1">
      <c r="A157" s="396"/>
      <c r="B157" s="309"/>
      <c r="C157" s="46" t="s">
        <v>222</v>
      </c>
      <c r="D157" s="58" t="s">
        <v>64</v>
      </c>
      <c r="E157" s="321">
        <f>'Dữ liệu cơ bản'!$D$5</f>
        <v>39772.72727272727</v>
      </c>
      <c r="F157" s="321">
        <f>E157</f>
        <v>39772.72727272727</v>
      </c>
      <c r="G157" s="321">
        <f>F157*(1+'Dữ liệu theo hoạt động'!$E$60)</f>
        <v>41681.818181818184</v>
      </c>
      <c r="H157" s="321">
        <f>G157*(1+'Dữ liệu theo hoạt động'!$E$60)</f>
        <v>43682.545454545456</v>
      </c>
      <c r="I157" s="321">
        <f>H157*(1+'Dữ liệu theo hoạt động'!$E$60)</f>
        <v>45779.30763636364</v>
      </c>
      <c r="J157" s="321">
        <f>I157*(1+'Dữ liệu theo hoạt động'!$E$60)</f>
        <v>47976.7144029091</v>
      </c>
      <c r="K157" s="321">
        <f>J157*(1+'Dữ liệu theo hoạt động'!$E$60)</f>
        <v>50279.596694248736</v>
      </c>
      <c r="L157" s="321">
        <f>K157*(1+'Dữ liệu theo hoạt động'!$E$60)</f>
        <v>52693.01733557268</v>
      </c>
      <c r="M157" s="321">
        <f>L157*(1+'Dữ liệu theo hoạt động'!$E$60)</f>
        <v>55222.28216768017</v>
      </c>
      <c r="N157" s="321">
        <f>M157*(1+'Dữ liệu theo hoạt động'!$E$60)</f>
        <v>57872.95171172882</v>
      </c>
      <c r="O157" s="338">
        <f>N157*(1+'Dữ liệu theo hoạt động'!$E$60)</f>
        <v>60650.853393891804</v>
      </c>
    </row>
    <row r="158" spans="1:15" ht="26.25" customHeight="1">
      <c r="A158" s="396" t="s">
        <v>62</v>
      </c>
      <c r="B158" s="703" t="s">
        <v>223</v>
      </c>
      <c r="C158" s="703"/>
      <c r="D158" s="400" t="s">
        <v>87</v>
      </c>
      <c r="E158" s="407">
        <f>SUM(F158:O158)</f>
        <v>19186940761.338684</v>
      </c>
      <c r="F158" s="405">
        <f>(E159*E161+E162*E160)*E165/1000</f>
        <v>2964767850</v>
      </c>
      <c r="G158" s="405">
        <f>(E163*E161+E164*E162)*E165/1000</f>
        <v>1483351650</v>
      </c>
      <c r="H158" s="405">
        <f>G158*(1+'Dữ liệu theo hoạt động'!$E$60)</f>
        <v>1554552529.2</v>
      </c>
      <c r="I158" s="405">
        <f>H158*(1+'Dữ liệu theo hoạt động'!$E$60)</f>
        <v>1629171050.6016002</v>
      </c>
      <c r="J158" s="405">
        <f>I158*(1+'Dữ liệu theo hoạt động'!$E$60)</f>
        <v>1707371261.030477</v>
      </c>
      <c r="K158" s="405">
        <f>J158*(1+'Dữ liệu theo hoạt động'!$E$60)</f>
        <v>1789325081.55994</v>
      </c>
      <c r="L158" s="405">
        <f>K158*(1+'Dữ liệu theo hoạt động'!$E$60)</f>
        <v>1875212685.4748173</v>
      </c>
      <c r="M158" s="405">
        <f>L158*(1+'Dữ liệu theo hoạt động'!$E$60)</f>
        <v>1965222894.3776085</v>
      </c>
      <c r="N158" s="405">
        <f>M158*(1+'Dữ liệu theo hoạt động'!$E$60)</f>
        <v>2059553593.3077338</v>
      </c>
      <c r="O158" s="406">
        <f>N158*(1+'Dữ liệu theo hoạt động'!$E$60)</f>
        <v>2158412165.786505</v>
      </c>
    </row>
    <row r="159" spans="1:16" ht="28.5" customHeight="1">
      <c r="A159" s="396"/>
      <c r="B159" s="309"/>
      <c r="C159" s="46" t="s">
        <v>307</v>
      </c>
      <c r="D159" s="57" t="s">
        <v>308</v>
      </c>
      <c r="E159" s="321">
        <f>'Dữ liệu theo hoạt động'!$E$36</f>
        <v>5</v>
      </c>
      <c r="F159" s="321"/>
      <c r="G159" s="321"/>
      <c r="H159" s="321"/>
      <c r="I159" s="321"/>
      <c r="J159" s="321"/>
      <c r="K159" s="321"/>
      <c r="L159" s="321"/>
      <c r="M159" s="321"/>
      <c r="N159" s="321"/>
      <c r="O159" s="338"/>
      <c r="P159" s="315" t="s">
        <v>387</v>
      </c>
    </row>
    <row r="160" spans="1:15" ht="28.5" customHeight="1">
      <c r="A160" s="396"/>
      <c r="B160" s="309"/>
      <c r="C160" s="47" t="s">
        <v>309</v>
      </c>
      <c r="D160" s="57" t="s">
        <v>308</v>
      </c>
      <c r="E160" s="321">
        <f>'Dữ liệu theo hoạt động'!$E$37</f>
        <v>2</v>
      </c>
      <c r="F160" s="321"/>
      <c r="G160" s="321"/>
      <c r="H160" s="321"/>
      <c r="I160" s="321"/>
      <c r="J160" s="321"/>
      <c r="K160" s="321"/>
      <c r="L160" s="321"/>
      <c r="M160" s="321"/>
      <c r="N160" s="321"/>
      <c r="O160" s="338"/>
    </row>
    <row r="161" spans="1:15" ht="28.5" customHeight="1">
      <c r="A161" s="396"/>
      <c r="B161" s="309"/>
      <c r="C161" s="46" t="s">
        <v>291</v>
      </c>
      <c r="D161" s="57" t="s">
        <v>238</v>
      </c>
      <c r="E161" s="324">
        <f>E113</f>
        <v>34</v>
      </c>
      <c r="F161" s="321"/>
      <c r="G161" s="321"/>
      <c r="H161" s="321"/>
      <c r="I161" s="321"/>
      <c r="J161" s="321"/>
      <c r="K161" s="321"/>
      <c r="L161" s="321"/>
      <c r="M161" s="321"/>
      <c r="N161" s="321"/>
      <c r="O161" s="338"/>
    </row>
    <row r="162" spans="1:15" ht="28.5" customHeight="1">
      <c r="A162" s="396"/>
      <c r="B162" s="309"/>
      <c r="C162" s="46" t="s">
        <v>240</v>
      </c>
      <c r="D162" s="57" t="s">
        <v>238</v>
      </c>
      <c r="E162" s="324">
        <f>E114</f>
        <v>25956</v>
      </c>
      <c r="F162" s="321"/>
      <c r="G162" s="321"/>
      <c r="H162" s="321"/>
      <c r="I162" s="321"/>
      <c r="J162" s="321"/>
      <c r="K162" s="321"/>
      <c r="L162" s="321"/>
      <c r="M162" s="321"/>
      <c r="N162" s="321"/>
      <c r="O162" s="338"/>
    </row>
    <row r="163" spans="1:15" ht="28.5" customHeight="1">
      <c r="A163" s="396"/>
      <c r="B163" s="309"/>
      <c r="C163" s="46" t="s">
        <v>310</v>
      </c>
      <c r="D163" s="57" t="s">
        <v>308</v>
      </c>
      <c r="E163" s="321">
        <f>'Dữ liệu theo hoạt động'!$E$38</f>
        <v>3</v>
      </c>
      <c r="F163" s="321"/>
      <c r="G163" s="321"/>
      <c r="H163" s="321"/>
      <c r="I163" s="321"/>
      <c r="J163" s="321"/>
      <c r="K163" s="321"/>
      <c r="L163" s="321"/>
      <c r="M163" s="321"/>
      <c r="N163" s="321"/>
      <c r="O163" s="338"/>
    </row>
    <row r="164" spans="1:15" ht="28.5" customHeight="1">
      <c r="A164" s="396"/>
      <c r="B164" s="309"/>
      <c r="C164" s="46" t="s">
        <v>311</v>
      </c>
      <c r="D164" s="57" t="s">
        <v>308</v>
      </c>
      <c r="E164" s="321">
        <f>'Dữ liệu theo hoạt động'!$E$39</f>
        <v>1</v>
      </c>
      <c r="F164" s="321"/>
      <c r="G164" s="321"/>
      <c r="H164" s="321"/>
      <c r="I164" s="321"/>
      <c r="J164" s="321"/>
      <c r="K164" s="321"/>
      <c r="L164" s="321"/>
      <c r="M164" s="321"/>
      <c r="N164" s="321"/>
      <c r="O164" s="338"/>
    </row>
    <row r="165" spans="1:15" ht="28.5" customHeight="1">
      <c r="A165" s="396"/>
      <c r="B165" s="309"/>
      <c r="C165" s="47" t="s">
        <v>228</v>
      </c>
      <c r="D165" s="58" t="s">
        <v>64</v>
      </c>
      <c r="E165" s="167">
        <f>'Dữ liệu theo hoạt động'!$E$40</f>
        <v>56925000</v>
      </c>
      <c r="F165" s="321"/>
      <c r="G165" s="321"/>
      <c r="H165" s="321"/>
      <c r="I165" s="321"/>
      <c r="J165" s="321"/>
      <c r="K165" s="321"/>
      <c r="L165" s="321"/>
      <c r="M165" s="321"/>
      <c r="N165" s="321"/>
      <c r="O165" s="338"/>
    </row>
    <row r="166" spans="1:15" ht="30.75" customHeight="1">
      <c r="A166" s="396" t="s">
        <v>62</v>
      </c>
      <c r="B166" s="703" t="s">
        <v>312</v>
      </c>
      <c r="C166" s="703"/>
      <c r="D166" s="74" t="s">
        <v>86</v>
      </c>
      <c r="E166" s="408">
        <f>SUM(F166:O166)</f>
        <v>207933031.54566702</v>
      </c>
      <c r="F166" s="405">
        <f>((E167*E168*E173)+(E171*E172)+E174*E173+E170*E176)/1000</f>
        <v>46849394.5</v>
      </c>
      <c r="G166" s="398">
        <f>F166*(1+'Dữ liệu theo hoạt động'!$E$60)*$E$102</f>
        <v>14729449.630800001</v>
      </c>
      <c r="H166" s="398">
        <f>G166*(1+'Dữ liệu theo hoạt động'!$E$60)</f>
        <v>15436463.213078402</v>
      </c>
      <c r="I166" s="398">
        <f>H166*(1+'Dữ liệu theo hoạt động'!$E$60)</f>
        <v>16177413.447306165</v>
      </c>
      <c r="J166" s="398">
        <f>I166*(1+'Dữ liệu theo hoạt động'!$E$60)</f>
        <v>16953929.29277686</v>
      </c>
      <c r="K166" s="398">
        <f>J166*(1+'Dữ liệu theo hoạt động'!$E$60)</f>
        <v>17767717.89883015</v>
      </c>
      <c r="L166" s="398">
        <f>K166*(1+'Dữ liệu theo hoạt động'!$E$60)</f>
        <v>18620568.357973997</v>
      </c>
      <c r="M166" s="398">
        <f>L166*(1+'Dữ liệu theo hoạt động'!$E$60)</f>
        <v>19514355.639156748</v>
      </c>
      <c r="N166" s="398">
        <f>M166*(1+'Dữ liệu theo hoạt động'!$E$60)</f>
        <v>20451044.70983627</v>
      </c>
      <c r="O166" s="399">
        <f>N166*(1+'Dữ liệu theo hoạt động'!$E$60)</f>
        <v>21432694.855908412</v>
      </c>
    </row>
    <row r="167" spans="1:16" ht="25.5">
      <c r="A167" s="396"/>
      <c r="B167" s="334"/>
      <c r="C167" s="46" t="s">
        <v>230</v>
      </c>
      <c r="D167" s="58" t="s">
        <v>180</v>
      </c>
      <c r="E167" s="167">
        <f>'Dữ liệu theo hoạt động'!$E$42</f>
        <v>24</v>
      </c>
      <c r="F167" s="167"/>
      <c r="G167" s="378"/>
      <c r="H167" s="378"/>
      <c r="I167" s="378"/>
      <c r="J167" s="378"/>
      <c r="K167" s="378"/>
      <c r="L167" s="378"/>
      <c r="M167" s="378"/>
      <c r="N167" s="378"/>
      <c r="O167" s="379"/>
      <c r="P167" s="377" t="s">
        <v>388</v>
      </c>
    </row>
    <row r="168" spans="1:15" ht="25.5">
      <c r="A168" s="396"/>
      <c r="B168" s="309"/>
      <c r="C168" s="46" t="s">
        <v>178</v>
      </c>
      <c r="D168" s="58" t="s">
        <v>64</v>
      </c>
      <c r="E168" s="167">
        <f>'Dữ liệu theo hoạt động'!$E$43</f>
        <v>26953.125</v>
      </c>
      <c r="F168" s="321"/>
      <c r="G168" s="322"/>
      <c r="H168" s="322"/>
      <c r="I168" s="322"/>
      <c r="J168" s="322"/>
      <c r="K168" s="322"/>
      <c r="L168" s="322"/>
      <c r="M168" s="322"/>
      <c r="N168" s="322"/>
      <c r="O168" s="60"/>
    </row>
    <row r="169" spans="1:15" ht="25.5">
      <c r="A169" s="396"/>
      <c r="B169" s="309"/>
      <c r="C169" s="46" t="s">
        <v>231</v>
      </c>
      <c r="D169" s="57" t="s">
        <v>169</v>
      </c>
      <c r="E169" s="167">
        <f>'Dữ liệu theo hoạt động'!$E$44</f>
        <v>75</v>
      </c>
      <c r="F169" s="321"/>
      <c r="G169" s="322"/>
      <c r="H169" s="322"/>
      <c r="I169" s="322"/>
      <c r="J169" s="322"/>
      <c r="K169" s="322"/>
      <c r="L169" s="322"/>
      <c r="M169" s="322"/>
      <c r="N169" s="322"/>
      <c r="O169" s="60"/>
    </row>
    <row r="170" spans="1:15" ht="25.5">
      <c r="A170" s="396"/>
      <c r="B170" s="309"/>
      <c r="C170" s="46" t="s">
        <v>353</v>
      </c>
      <c r="D170" s="57" t="s">
        <v>358</v>
      </c>
      <c r="E170" s="321">
        <f>E173/E169</f>
        <v>355.14666666666665</v>
      </c>
      <c r="F170" s="321"/>
      <c r="G170" s="322"/>
      <c r="H170" s="322"/>
      <c r="I170" s="322"/>
      <c r="J170" s="322"/>
      <c r="K170" s="322"/>
      <c r="L170" s="322"/>
      <c r="M170" s="322"/>
      <c r="N170" s="322"/>
      <c r="O170" s="60"/>
    </row>
    <row r="171" spans="1:15" ht="25.5">
      <c r="A171" s="396"/>
      <c r="B171" s="309"/>
      <c r="C171" s="46" t="s">
        <v>232</v>
      </c>
      <c r="D171" s="58" t="s">
        <v>64</v>
      </c>
      <c r="E171" s="167">
        <f>'Dữ liệu theo hoạt động'!$E$45</f>
        <v>100000</v>
      </c>
      <c r="F171" s="321"/>
      <c r="G171" s="322"/>
      <c r="H171" s="322"/>
      <c r="I171" s="322"/>
      <c r="J171" s="322"/>
      <c r="K171" s="322"/>
      <c r="L171" s="322"/>
      <c r="M171" s="322"/>
      <c r="N171" s="322"/>
      <c r="O171" s="60"/>
    </row>
    <row r="172" spans="1:15" ht="25.5">
      <c r="A172" s="396"/>
      <c r="B172" s="309"/>
      <c r="C172" s="528" t="s">
        <v>314</v>
      </c>
      <c r="D172" s="57" t="s">
        <v>169</v>
      </c>
      <c r="E172" s="167">
        <f>E167*E170</f>
        <v>8523.52</v>
      </c>
      <c r="F172" s="321"/>
      <c r="G172" s="322"/>
      <c r="H172" s="322"/>
      <c r="I172" s="322"/>
      <c r="J172" s="322"/>
      <c r="K172" s="322"/>
      <c r="L172" s="322"/>
      <c r="M172" s="322"/>
      <c r="N172" s="322"/>
      <c r="O172" s="60"/>
    </row>
    <row r="173" spans="1:15" ht="25.5">
      <c r="A173" s="396"/>
      <c r="B173" s="309"/>
      <c r="C173" s="46" t="s">
        <v>233</v>
      </c>
      <c r="D173" s="57" t="s">
        <v>169</v>
      </c>
      <c r="E173" s="321">
        <f>E177*E178+E179*E180</f>
        <v>26636</v>
      </c>
      <c r="F173" s="321"/>
      <c r="G173" s="322"/>
      <c r="H173" s="322"/>
      <c r="I173" s="322"/>
      <c r="J173" s="322"/>
      <c r="K173" s="322"/>
      <c r="L173" s="322"/>
      <c r="M173" s="322"/>
      <c r="N173" s="322"/>
      <c r="O173" s="60"/>
    </row>
    <row r="174" spans="1:15" ht="25.5">
      <c r="A174" s="396"/>
      <c r="B174" s="309"/>
      <c r="C174" s="46" t="s">
        <v>234</v>
      </c>
      <c r="D174" s="58" t="s">
        <v>64</v>
      </c>
      <c r="E174" s="321">
        <f>'Dữ liệu theo hoạt động'!$E$47</f>
        <v>200000</v>
      </c>
      <c r="F174" s="321"/>
      <c r="G174" s="322"/>
      <c r="H174" s="322"/>
      <c r="I174" s="322"/>
      <c r="J174" s="322"/>
      <c r="K174" s="322"/>
      <c r="L174" s="322"/>
      <c r="M174" s="322"/>
      <c r="N174" s="322"/>
      <c r="O174" s="60"/>
    </row>
    <row r="175" spans="1:15" ht="25.5">
      <c r="A175" s="396"/>
      <c r="B175" s="309"/>
      <c r="C175" s="46" t="s">
        <v>354</v>
      </c>
      <c r="D175" s="58" t="s">
        <v>65</v>
      </c>
      <c r="E175" s="320">
        <f>'Dữ liệu theo hoạt động'!$E$48</f>
        <v>0.3</v>
      </c>
      <c r="F175" s="321"/>
      <c r="G175" s="322"/>
      <c r="H175" s="322"/>
      <c r="I175" s="322"/>
      <c r="J175" s="322"/>
      <c r="K175" s="322"/>
      <c r="L175" s="322"/>
      <c r="M175" s="322"/>
      <c r="N175" s="322"/>
      <c r="O175" s="60"/>
    </row>
    <row r="176" spans="1:15" ht="25.5">
      <c r="A176" s="396"/>
      <c r="B176" s="309"/>
      <c r="C176" s="46" t="s">
        <v>316</v>
      </c>
      <c r="D176" s="58" t="s">
        <v>64</v>
      </c>
      <c r="E176" s="167">
        <f>'Dữ liệu theo hoạt động'!$E$49</f>
        <v>66000000</v>
      </c>
      <c r="F176" s="321"/>
      <c r="G176" s="322"/>
      <c r="H176" s="322"/>
      <c r="I176" s="322"/>
      <c r="J176" s="322"/>
      <c r="K176" s="322"/>
      <c r="L176" s="322"/>
      <c r="M176" s="322"/>
      <c r="N176" s="322"/>
      <c r="O176" s="60"/>
    </row>
    <row r="177" spans="1:15" ht="25.5">
      <c r="A177" s="396"/>
      <c r="B177" s="309"/>
      <c r="C177" s="46" t="s">
        <v>237</v>
      </c>
      <c r="D177" s="57" t="s">
        <v>169</v>
      </c>
      <c r="E177" s="321">
        <f>'Dữ liệu theo hoạt động'!$E$50</f>
        <v>20</v>
      </c>
      <c r="F177" s="321"/>
      <c r="G177" s="322"/>
      <c r="H177" s="322"/>
      <c r="I177" s="322"/>
      <c r="J177" s="322"/>
      <c r="K177" s="322"/>
      <c r="L177" s="322"/>
      <c r="M177" s="322"/>
      <c r="N177" s="322"/>
      <c r="O177" s="60"/>
    </row>
    <row r="178" spans="1:15" ht="25.5">
      <c r="A178" s="396"/>
      <c r="B178" s="309"/>
      <c r="C178" s="46" t="s">
        <v>291</v>
      </c>
      <c r="D178" s="57" t="s">
        <v>238</v>
      </c>
      <c r="E178" s="321">
        <f>'Dữ liệu cơ bản'!I7</f>
        <v>34</v>
      </c>
      <c r="F178" s="321"/>
      <c r="G178" s="322"/>
      <c r="H178" s="322"/>
      <c r="I178" s="322"/>
      <c r="J178" s="322"/>
      <c r="K178" s="322"/>
      <c r="L178" s="322"/>
      <c r="M178" s="322"/>
      <c r="N178" s="322"/>
      <c r="O178" s="60"/>
    </row>
    <row r="179" spans="1:15" ht="26.25" customHeight="1">
      <c r="A179" s="396"/>
      <c r="B179" s="309"/>
      <c r="C179" s="46" t="s">
        <v>239</v>
      </c>
      <c r="D179" s="57" t="s">
        <v>169</v>
      </c>
      <c r="E179" s="321">
        <f>'Dữ liệu theo hoạt động'!$E$52</f>
        <v>1</v>
      </c>
      <c r="F179" s="321"/>
      <c r="G179" s="322"/>
      <c r="H179" s="322"/>
      <c r="I179" s="322"/>
      <c r="J179" s="322"/>
      <c r="K179" s="322"/>
      <c r="L179" s="322"/>
      <c r="M179" s="322"/>
      <c r="N179" s="322"/>
      <c r="O179" s="60"/>
    </row>
    <row r="180" spans="1:15" ht="26.25" thickBot="1">
      <c r="A180" s="409"/>
      <c r="B180" s="381"/>
      <c r="C180" s="105" t="s">
        <v>240</v>
      </c>
      <c r="D180" s="57" t="s">
        <v>238</v>
      </c>
      <c r="E180" s="382">
        <f>'Dữ liệu cơ bản'!I6</f>
        <v>25956</v>
      </c>
      <c r="F180" s="382"/>
      <c r="G180" s="383"/>
      <c r="H180" s="383"/>
      <c r="I180" s="383"/>
      <c r="J180" s="383"/>
      <c r="K180" s="383"/>
      <c r="L180" s="383"/>
      <c r="M180" s="383"/>
      <c r="N180" s="383"/>
      <c r="O180" s="384"/>
    </row>
    <row r="181" spans="1:15" ht="30" customHeight="1">
      <c r="A181" s="410" t="s">
        <v>62</v>
      </c>
      <c r="B181" s="672" t="s">
        <v>355</v>
      </c>
      <c r="C181" s="672"/>
      <c r="D181" s="500" t="s">
        <v>86</v>
      </c>
      <c r="E181" s="411">
        <f>SUM(F181:O181)</f>
        <v>45361988650.78145</v>
      </c>
      <c r="F181" s="412">
        <f>F116+F121+F125+F129+F136+F145+F150+F158+F166</f>
        <v>6397888783.090909</v>
      </c>
      <c r="G181" s="412">
        <f aca="true" t="shared" si="21" ref="G181:O181">G116+G121+G125+G129+G136+G145+G150+G158+G166</f>
        <v>3595783667.5568</v>
      </c>
      <c r="H181" s="412">
        <f t="shared" si="21"/>
        <v>3761121226.8348293</v>
      </c>
      <c r="I181" s="412">
        <f t="shared" si="21"/>
        <v>3933481619.853083</v>
      </c>
      <c r="J181" s="412">
        <f t="shared" si="21"/>
        <v>4113329124.0469723</v>
      </c>
      <c r="K181" s="412">
        <f t="shared" si="21"/>
        <v>4301138801.107903</v>
      </c>
      <c r="L181" s="412">
        <f t="shared" si="21"/>
        <v>4497397910.830312</v>
      </c>
      <c r="M181" s="412">
        <f t="shared" si="21"/>
        <v>4702607328.119917</v>
      </c>
      <c r="N181" s="412">
        <f t="shared" si="21"/>
        <v>4917282967.773847</v>
      </c>
      <c r="O181" s="413">
        <f t="shared" si="21"/>
        <v>5141957221.566882</v>
      </c>
    </row>
    <row r="182" spans="1:15" ht="30" customHeight="1">
      <c r="A182" s="396" t="s">
        <v>62</v>
      </c>
      <c r="B182" s="510"/>
      <c r="C182" s="103" t="s">
        <v>356</v>
      </c>
      <c r="D182" s="103" t="s">
        <v>89</v>
      </c>
      <c r="E182" s="414">
        <f>SUM(F182:O182)</f>
        <v>44427849182.41648</v>
      </c>
      <c r="F182" s="414">
        <f>F116+F121+F125+F129+F137+F145+F151+F158+F166</f>
        <v>6329634354</v>
      </c>
      <c r="G182" s="414">
        <f aca="true" t="shared" si="22" ref="G182:O182">G116+G121+G125+G129+G137+G145+G151+G158+G166</f>
        <v>3530213912.6768</v>
      </c>
      <c r="H182" s="414">
        <f t="shared" si="22"/>
        <v>3685376238.1748147</v>
      </c>
      <c r="I182" s="414">
        <f t="shared" si="22"/>
        <v>3848797910.4199686</v>
      </c>
      <c r="J182" s="414">
        <f t="shared" si="22"/>
        <v>4020829281.7251253</v>
      </c>
      <c r="K182" s="414">
        <f t="shared" si="22"/>
        <v>4201840139.5857654</v>
      </c>
      <c r="L182" s="414">
        <f t="shared" si="22"/>
        <v>4392220490.850927</v>
      </c>
      <c r="M182" s="414">
        <f t="shared" si="22"/>
        <v>4592381391.981522</v>
      </c>
      <c r="N182" s="414">
        <f t="shared" si="22"/>
        <v>4802755827.128424</v>
      </c>
      <c r="O182" s="415">
        <f t="shared" si="22"/>
        <v>5023799635.873132</v>
      </c>
    </row>
    <row r="183" spans="1:15" ht="30" customHeight="1">
      <c r="A183" s="416" t="s">
        <v>62</v>
      </c>
      <c r="B183" s="113"/>
      <c r="C183" s="114" t="s">
        <v>357</v>
      </c>
      <c r="D183" s="114" t="s">
        <v>89</v>
      </c>
      <c r="E183" s="417">
        <f>SUM(F183:O183)</f>
        <v>934139468.364974</v>
      </c>
      <c r="F183" s="417">
        <f>F152+F138</f>
        <v>68254429.0909091</v>
      </c>
      <c r="G183" s="417">
        <f aca="true" t="shared" si="23" ref="G183:O183">G152+G138</f>
        <v>65569754.88000001</v>
      </c>
      <c r="H183" s="417">
        <f t="shared" si="23"/>
        <v>75744988.66001454</v>
      </c>
      <c r="I183" s="417">
        <f t="shared" si="23"/>
        <v>84683709.43311489</v>
      </c>
      <c r="J183" s="417">
        <f t="shared" si="23"/>
        <v>92499842.32184707</v>
      </c>
      <c r="K183" s="417">
        <f t="shared" si="23"/>
        <v>99298661.52213648</v>
      </c>
      <c r="L183" s="417">
        <f t="shared" si="23"/>
        <v>105177419.97938435</v>
      </c>
      <c r="M183" s="417">
        <f t="shared" si="23"/>
        <v>110225936.13839477</v>
      </c>
      <c r="N183" s="417">
        <f t="shared" si="23"/>
        <v>114527140.64542276</v>
      </c>
      <c r="O183" s="415">
        <f t="shared" si="23"/>
        <v>118157585.69375014</v>
      </c>
    </row>
    <row r="184" spans="1:15" ht="28.5" customHeight="1" thickBot="1">
      <c r="A184" s="418" t="s">
        <v>482</v>
      </c>
      <c r="B184" s="116"/>
      <c r="C184" s="117" t="s">
        <v>317</v>
      </c>
      <c r="D184" s="118" t="s">
        <v>89</v>
      </c>
      <c r="E184" s="419">
        <f>E116+E121+E125+E129</f>
        <v>23762123042.54697</v>
      </c>
      <c r="F184" s="419">
        <f aca="true" t="shared" si="24" ref="F184:O184">F116+F121+F125+F129</f>
        <v>3161907956</v>
      </c>
      <c r="G184" s="419">
        <f t="shared" si="24"/>
        <v>1883678789.888</v>
      </c>
      <c r="H184" s="419">
        <f t="shared" si="24"/>
        <v>1974095371.802624</v>
      </c>
      <c r="I184" s="419">
        <f t="shared" si="24"/>
        <v>2068851949.64915</v>
      </c>
      <c r="J184" s="419">
        <f t="shared" si="24"/>
        <v>2168156843.2323093</v>
      </c>
      <c r="K184" s="419">
        <f t="shared" si="24"/>
        <v>2272228371.7074604</v>
      </c>
      <c r="L184" s="419">
        <f t="shared" si="24"/>
        <v>2381295333.5494184</v>
      </c>
      <c r="M184" s="419">
        <f t="shared" si="24"/>
        <v>2495597509.5597906</v>
      </c>
      <c r="N184" s="419">
        <f t="shared" si="24"/>
        <v>2615386190.0186605</v>
      </c>
      <c r="O184" s="420">
        <f t="shared" si="24"/>
        <v>2740924727.1395564</v>
      </c>
    </row>
    <row r="185" spans="1:15" ht="30.75" customHeight="1" thickTop="1">
      <c r="A185" s="421" t="s">
        <v>63</v>
      </c>
      <c r="B185" s="707" t="s">
        <v>340</v>
      </c>
      <c r="C185" s="707"/>
      <c r="D185" s="115"/>
      <c r="E185" s="422"/>
      <c r="F185" s="422"/>
      <c r="G185" s="422"/>
      <c r="H185" s="422"/>
      <c r="I185" s="422"/>
      <c r="J185" s="422"/>
      <c r="K185" s="422"/>
      <c r="L185" s="422"/>
      <c r="M185" s="422"/>
      <c r="N185" s="422"/>
      <c r="O185" s="423"/>
    </row>
    <row r="186" spans="1:15" ht="25.5">
      <c r="A186" s="424"/>
      <c r="B186" s="76"/>
      <c r="C186" s="46" t="s">
        <v>291</v>
      </c>
      <c r="D186" s="57" t="s">
        <v>238</v>
      </c>
      <c r="E186" s="78">
        <f>'Dữ liệu cơ bản'!J7</f>
        <v>34</v>
      </c>
      <c r="F186" s="336"/>
      <c r="G186" s="336"/>
      <c r="H186" s="336"/>
      <c r="I186" s="336"/>
      <c r="J186" s="336"/>
      <c r="K186" s="336"/>
      <c r="L186" s="336"/>
      <c r="M186" s="336"/>
      <c r="N186" s="336"/>
      <c r="O186" s="337"/>
    </row>
    <row r="187" spans="1:15" ht="25.5">
      <c r="A187" s="424"/>
      <c r="B187" s="76"/>
      <c r="C187" s="46" t="s">
        <v>345</v>
      </c>
      <c r="D187" s="57" t="s">
        <v>238</v>
      </c>
      <c r="E187" s="336">
        <f>'Dữ liệu cơ bản'!J6</f>
        <v>27676</v>
      </c>
      <c r="F187" s="336"/>
      <c r="G187" s="336"/>
      <c r="H187" s="336"/>
      <c r="I187" s="336"/>
      <c r="J187" s="336"/>
      <c r="K187" s="336"/>
      <c r="L187" s="336"/>
      <c r="M187" s="336"/>
      <c r="N187" s="336"/>
      <c r="O187" s="337"/>
    </row>
    <row r="188" spans="1:15" ht="25.5">
      <c r="A188" s="424"/>
      <c r="B188" s="498"/>
      <c r="C188" s="47" t="s">
        <v>243</v>
      </c>
      <c r="D188" s="58" t="s">
        <v>88</v>
      </c>
      <c r="E188" s="167">
        <f>'Dữ liệu theo hoạt động'!$E$59</f>
        <v>1926</v>
      </c>
      <c r="F188" s="336"/>
      <c r="G188" s="336"/>
      <c r="H188" s="336"/>
      <c r="I188" s="336"/>
      <c r="J188" s="336"/>
      <c r="K188" s="336"/>
      <c r="L188" s="336"/>
      <c r="M188" s="336"/>
      <c r="N188" s="336"/>
      <c r="O188" s="337"/>
    </row>
    <row r="189" spans="1:16" ht="25.5" customHeight="1">
      <c r="A189" s="424" t="s">
        <v>63</v>
      </c>
      <c r="B189" s="697" t="s">
        <v>190</v>
      </c>
      <c r="C189" s="697"/>
      <c r="D189" s="425" t="s">
        <v>89</v>
      </c>
      <c r="E189" s="433">
        <f>SUM(F189:O189)</f>
        <v>3845301693.6215267</v>
      </c>
      <c r="F189" s="426">
        <f>E190*E191*(E193-E192)/1000</f>
        <v>308584523.5</v>
      </c>
      <c r="G189" s="426">
        <f>F189*(1+'Dữ liệu theo hoạt động'!$E$60)</f>
        <v>323396580.628</v>
      </c>
      <c r="H189" s="426">
        <f>G189*(1+'Dữ liệu theo hoạt động'!$E$60)</f>
        <v>338919616.49814403</v>
      </c>
      <c r="I189" s="426">
        <f>H189*(1+'Dữ liệu theo hoạt động'!$E$60)</f>
        <v>355187758.0900549</v>
      </c>
      <c r="J189" s="426">
        <f>I189*(1+'Dữ liệu theo hoạt động'!$E$60)</f>
        <v>372236770.4783776</v>
      </c>
      <c r="K189" s="426">
        <f>J189*(1+'Dữ liệu theo hoạt động'!$E$60)</f>
        <v>390104135.4613397</v>
      </c>
      <c r="L189" s="426">
        <f>K189*(1+'Dữ liệu theo hoạt động'!$E$60)</f>
        <v>408829133.96348405</v>
      </c>
      <c r="M189" s="426">
        <f>L189*(1+'Dữ liệu theo hoạt động'!$E$60)</f>
        <v>428452932.3937313</v>
      </c>
      <c r="N189" s="426">
        <f>M189*(1+'Dữ liệu theo hoạt động'!$E$60)</f>
        <v>449018673.14863044</v>
      </c>
      <c r="O189" s="427">
        <f>N189*(1+'Dữ liệu theo hoạt động'!$E$60)</f>
        <v>470571569.4597647</v>
      </c>
      <c r="P189" s="315" t="s">
        <v>387</v>
      </c>
    </row>
    <row r="190" spans="1:15" ht="29.25" customHeight="1">
      <c r="A190" s="424"/>
      <c r="B190" s="309"/>
      <c r="C190" s="46" t="s">
        <v>295</v>
      </c>
      <c r="D190" s="57" t="s">
        <v>319</v>
      </c>
      <c r="E190" s="333">
        <f>'Dữ liệu theo hoạt động'!$E$5</f>
        <v>10</v>
      </c>
      <c r="F190" s="336"/>
      <c r="G190" s="336"/>
      <c r="H190" s="336"/>
      <c r="I190" s="336"/>
      <c r="J190" s="336"/>
      <c r="K190" s="336"/>
      <c r="L190" s="336"/>
      <c r="M190" s="336"/>
      <c r="N190" s="336"/>
      <c r="O190" s="337"/>
    </row>
    <row r="191" spans="1:15" ht="25.5">
      <c r="A191" s="424"/>
      <c r="B191" s="309"/>
      <c r="C191" s="47" t="s">
        <v>296</v>
      </c>
      <c r="D191" s="58" t="s">
        <v>64</v>
      </c>
      <c r="E191" s="324">
        <f>'Dữ liệu theo hoạt động'!$E$6</f>
        <v>1196806.25</v>
      </c>
      <c r="F191" s="336"/>
      <c r="G191" s="336"/>
      <c r="H191" s="336"/>
      <c r="I191" s="336"/>
      <c r="J191" s="336"/>
      <c r="K191" s="336"/>
      <c r="L191" s="336"/>
      <c r="M191" s="336"/>
      <c r="N191" s="336"/>
      <c r="O191" s="337"/>
    </row>
    <row r="192" spans="1:15" ht="25.5">
      <c r="A192" s="424"/>
      <c r="B192" s="309"/>
      <c r="C192" s="47" t="s">
        <v>243</v>
      </c>
      <c r="D192" s="58" t="s">
        <v>88</v>
      </c>
      <c r="E192" s="167">
        <f>$E$42</f>
        <v>1926</v>
      </c>
      <c r="F192" s="336"/>
      <c r="G192" s="336"/>
      <c r="H192" s="336"/>
      <c r="I192" s="336"/>
      <c r="J192" s="336"/>
      <c r="K192" s="336"/>
      <c r="L192" s="336"/>
      <c r="M192" s="336"/>
      <c r="N192" s="336"/>
      <c r="O192" s="337"/>
    </row>
    <row r="193" spans="1:15" ht="25.5">
      <c r="A193" s="424"/>
      <c r="B193" s="309"/>
      <c r="C193" s="46" t="s">
        <v>349</v>
      </c>
      <c r="D193" s="57" t="s">
        <v>238</v>
      </c>
      <c r="E193" s="99">
        <f>E186+E187</f>
        <v>27710</v>
      </c>
      <c r="F193" s="336"/>
      <c r="G193" s="336"/>
      <c r="H193" s="336"/>
      <c r="I193" s="336"/>
      <c r="J193" s="336"/>
      <c r="K193" s="336"/>
      <c r="L193" s="336"/>
      <c r="M193" s="336"/>
      <c r="N193" s="336"/>
      <c r="O193" s="337"/>
    </row>
    <row r="194" spans="1:15" ht="29.25" customHeight="1">
      <c r="A194" s="424" t="s">
        <v>63</v>
      </c>
      <c r="B194" s="697" t="s">
        <v>195</v>
      </c>
      <c r="C194" s="697"/>
      <c r="D194" s="425" t="s">
        <v>89</v>
      </c>
      <c r="E194" s="428">
        <f>SUM(F194:O194)</f>
        <v>2326978500</v>
      </c>
      <c r="F194" s="426">
        <f>E196*E197/1000+E195</f>
        <v>2326978500</v>
      </c>
      <c r="G194" s="426">
        <v>0</v>
      </c>
      <c r="H194" s="426">
        <v>0</v>
      </c>
      <c r="I194" s="426">
        <v>0</v>
      </c>
      <c r="J194" s="426">
        <v>0</v>
      </c>
      <c r="K194" s="426">
        <v>0</v>
      </c>
      <c r="L194" s="426">
        <v>0</v>
      </c>
      <c r="M194" s="426">
        <v>0</v>
      </c>
      <c r="N194" s="426">
        <v>0</v>
      </c>
      <c r="O194" s="427">
        <v>0</v>
      </c>
    </row>
    <row r="195" spans="1:15" ht="29.25" customHeight="1">
      <c r="A195" s="424"/>
      <c r="B195" s="119"/>
      <c r="C195" s="120" t="s">
        <v>298</v>
      </c>
      <c r="D195" s="363" t="s">
        <v>89</v>
      </c>
      <c r="E195" s="364">
        <f>100000*3*'Dữ liệu cơ bản'!$D$24/1000</f>
        <v>6418500</v>
      </c>
      <c r="F195" s="336"/>
      <c r="G195" s="336"/>
      <c r="H195" s="336"/>
      <c r="I195" s="336"/>
      <c r="J195" s="336"/>
      <c r="K195" s="336"/>
      <c r="L195" s="336"/>
      <c r="M195" s="336"/>
      <c r="N195" s="336"/>
      <c r="O195" s="337"/>
    </row>
    <row r="196" spans="1:15" ht="25.5">
      <c r="A196" s="424"/>
      <c r="B196" s="498"/>
      <c r="C196" s="47" t="s">
        <v>202</v>
      </c>
      <c r="D196" s="58" t="s">
        <v>64</v>
      </c>
      <c r="E196" s="324">
        <f>'Dữ liệu theo hoạt động'!$E$13</f>
        <v>90000000</v>
      </c>
      <c r="F196" s="336"/>
      <c r="G196" s="336"/>
      <c r="H196" s="336"/>
      <c r="I196" s="336"/>
      <c r="J196" s="336"/>
      <c r="K196" s="336"/>
      <c r="L196" s="336"/>
      <c r="M196" s="336"/>
      <c r="N196" s="336"/>
      <c r="O196" s="337"/>
    </row>
    <row r="197" spans="1:15" ht="24.75" customHeight="1">
      <c r="A197" s="424"/>
      <c r="B197" s="498"/>
      <c r="C197" s="47" t="s">
        <v>299</v>
      </c>
      <c r="D197" s="58" t="s">
        <v>65</v>
      </c>
      <c r="E197" s="365">
        <f>E187+E186-E188</f>
        <v>25784</v>
      </c>
      <c r="F197" s="336"/>
      <c r="G197" s="336"/>
      <c r="H197" s="336"/>
      <c r="I197" s="336"/>
      <c r="J197" s="336"/>
      <c r="K197" s="336"/>
      <c r="L197" s="336"/>
      <c r="M197" s="336"/>
      <c r="N197" s="336"/>
      <c r="O197" s="337"/>
    </row>
    <row r="198" spans="1:15" ht="28.5" customHeight="1">
      <c r="A198" s="424" t="s">
        <v>63</v>
      </c>
      <c r="B198" s="697" t="s">
        <v>203</v>
      </c>
      <c r="C198" s="697"/>
      <c r="D198" s="425" t="s">
        <v>89</v>
      </c>
      <c r="E198" s="428">
        <f>SUM(F198:O198)</f>
        <v>6215345983.624953</v>
      </c>
      <c r="F198" s="426">
        <f>E199*E200*E201/1000</f>
        <v>498780000</v>
      </c>
      <c r="G198" s="426">
        <f>F198*(1+'Dữ liệu theo hoạt động'!$E$60)</f>
        <v>522721440</v>
      </c>
      <c r="H198" s="426">
        <f>G198*(1+'Dữ liệu theo hoạt động'!$E$60)</f>
        <v>547812069.12</v>
      </c>
      <c r="I198" s="426">
        <f>H198*(1+'Dữ liệu theo hoạt động'!$E$60)</f>
        <v>574107048.43776</v>
      </c>
      <c r="J198" s="426">
        <f>I198*(1+'Dữ liệu theo hoạt động'!$E$60)</f>
        <v>601664186.7627724</v>
      </c>
      <c r="K198" s="426">
        <f>J198*(1+'Dữ liệu theo hoạt động'!$E$60)</f>
        <v>630544067.7273855</v>
      </c>
      <c r="L198" s="426">
        <f>K198*(1+'Dữ liệu theo hoạt động'!$E$60)</f>
        <v>660810182.9783001</v>
      </c>
      <c r="M198" s="426">
        <f>L198*(1+'Dữ liệu theo hoạt động'!$E$60)</f>
        <v>692529071.7612585</v>
      </c>
      <c r="N198" s="426">
        <f>M198*(1+'Dữ liệu theo hoạt động'!$E$60)</f>
        <v>725770467.2057989</v>
      </c>
      <c r="O198" s="427">
        <f>N198*(1+'Dữ liệu theo hoạt động'!$E$60)</f>
        <v>760607449.6316773</v>
      </c>
    </row>
    <row r="199" spans="1:16" ht="25.5">
      <c r="A199" s="424"/>
      <c r="B199" s="506"/>
      <c r="C199" s="46" t="s">
        <v>204</v>
      </c>
      <c r="D199" s="57" t="s">
        <v>69</v>
      </c>
      <c r="E199" s="320">
        <f>'Dữ liệu theo hoạt động'!$E$15</f>
        <v>0.2</v>
      </c>
      <c r="F199" s="336"/>
      <c r="G199" s="336"/>
      <c r="H199" s="336"/>
      <c r="I199" s="336"/>
      <c r="J199" s="336"/>
      <c r="K199" s="336"/>
      <c r="L199" s="336"/>
      <c r="M199" s="336"/>
      <c r="N199" s="336"/>
      <c r="O199" s="337"/>
      <c r="P199" s="315" t="s">
        <v>387</v>
      </c>
    </row>
    <row r="200" spans="1:15" ht="25.5">
      <c r="A200" s="424"/>
      <c r="B200" s="498"/>
      <c r="C200" s="47" t="s">
        <v>202</v>
      </c>
      <c r="D200" s="323" t="s">
        <v>64</v>
      </c>
      <c r="E200" s="324">
        <f>'Dữ liệu theo hoạt động'!$E$13</f>
        <v>90000000</v>
      </c>
      <c r="F200" s="336"/>
      <c r="G200" s="336"/>
      <c r="H200" s="336"/>
      <c r="I200" s="336"/>
      <c r="J200" s="336"/>
      <c r="K200" s="336"/>
      <c r="L200" s="336"/>
      <c r="M200" s="336"/>
      <c r="N200" s="336"/>
      <c r="O200" s="337"/>
    </row>
    <row r="201" spans="1:15" ht="25.5">
      <c r="A201" s="424"/>
      <c r="B201" s="498"/>
      <c r="C201" s="46" t="s">
        <v>349</v>
      </c>
      <c r="D201" s="57" t="s">
        <v>238</v>
      </c>
      <c r="E201" s="167">
        <f>E186+E187</f>
        <v>27710</v>
      </c>
      <c r="F201" s="336"/>
      <c r="G201" s="336"/>
      <c r="H201" s="336"/>
      <c r="I201" s="336"/>
      <c r="J201" s="336"/>
      <c r="K201" s="336"/>
      <c r="L201" s="336"/>
      <c r="M201" s="336"/>
      <c r="N201" s="336"/>
      <c r="O201" s="337"/>
    </row>
    <row r="202" spans="1:15" ht="28.5" customHeight="1">
      <c r="A202" s="424" t="s">
        <v>63</v>
      </c>
      <c r="B202" s="697" t="s">
        <v>210</v>
      </c>
      <c r="C202" s="697"/>
      <c r="D202" s="425" t="s">
        <v>86</v>
      </c>
      <c r="E202" s="428">
        <f>SUM(F202:O202)</f>
        <v>12977113245.98431</v>
      </c>
      <c r="F202" s="426">
        <f>(E203+E204)*E206/1000</f>
        <v>249390000</v>
      </c>
      <c r="G202" s="426">
        <f>E206*(E207+E208)/1000</f>
        <v>1163820000</v>
      </c>
      <c r="H202" s="426">
        <f>G202*(1+'Dữ liệu theo hoạt động'!$E$60)</f>
        <v>1219683360</v>
      </c>
      <c r="I202" s="426">
        <f>H202*(1+'Dữ liệu theo hoạt động'!$E$60)</f>
        <v>1278228161.28</v>
      </c>
      <c r="J202" s="426">
        <f>I202*(1+'Dữ liệu theo hoạt động'!$E$60)</f>
        <v>1339583113.02144</v>
      </c>
      <c r="K202" s="426">
        <f>J202*(1+'Dữ liệu theo hoạt động'!$E$60)</f>
        <v>1403883102.4464693</v>
      </c>
      <c r="L202" s="426">
        <f>K202*(1+'Dữ liệu theo hoạt động'!$E$60)</f>
        <v>1471269491.3639</v>
      </c>
      <c r="M202" s="426">
        <f>L202*(1+'Dữ liệu theo hoạt động'!$E$60)</f>
        <v>1541890426.9493673</v>
      </c>
      <c r="N202" s="426">
        <f>M202*(1+'Dữ liệu theo hoạt động'!$E$60)</f>
        <v>1615901167.442937</v>
      </c>
      <c r="O202" s="427">
        <f>N202*(1+'Dữ liệu theo hoạt động'!$E$60)</f>
        <v>1693464423.480198</v>
      </c>
    </row>
    <row r="203" spans="1:16" ht="25.5">
      <c r="A203" s="424"/>
      <c r="B203" s="309"/>
      <c r="C203" s="47" t="s">
        <v>211</v>
      </c>
      <c r="D203" s="323" t="s">
        <v>64</v>
      </c>
      <c r="E203" s="324">
        <f>'Dữ liệu theo hoạt động'!$E$21</f>
        <v>8000000</v>
      </c>
      <c r="F203" s="336"/>
      <c r="G203" s="336"/>
      <c r="H203" s="336"/>
      <c r="I203" s="336"/>
      <c r="J203" s="336"/>
      <c r="K203" s="336"/>
      <c r="L203" s="336"/>
      <c r="M203" s="336"/>
      <c r="N203" s="336"/>
      <c r="O203" s="337"/>
      <c r="P203" s="315" t="s">
        <v>387</v>
      </c>
    </row>
    <row r="204" spans="1:15" ht="25.5">
      <c r="A204" s="424"/>
      <c r="B204" s="309"/>
      <c r="C204" s="47" t="s">
        <v>212</v>
      </c>
      <c r="D204" s="323" t="s">
        <v>64</v>
      </c>
      <c r="E204" s="324">
        <f>'Dữ liệu theo hoạt động'!$E$22</f>
        <v>1000000</v>
      </c>
      <c r="F204" s="336"/>
      <c r="G204" s="336"/>
      <c r="H204" s="336"/>
      <c r="I204" s="336"/>
      <c r="J204" s="336"/>
      <c r="K204" s="336"/>
      <c r="L204" s="336"/>
      <c r="M204" s="336"/>
      <c r="N204" s="336"/>
      <c r="O204" s="337"/>
    </row>
    <row r="205" spans="1:15" ht="25.5">
      <c r="A205" s="424"/>
      <c r="B205" s="309"/>
      <c r="C205" s="47" t="s">
        <v>213</v>
      </c>
      <c r="D205" s="323" t="s">
        <v>64</v>
      </c>
      <c r="E205" s="324">
        <v>3000000</v>
      </c>
      <c r="F205" s="336"/>
      <c r="G205" s="336"/>
      <c r="H205" s="336"/>
      <c r="I205" s="336"/>
      <c r="J205" s="336"/>
      <c r="K205" s="336"/>
      <c r="L205" s="336"/>
      <c r="M205" s="336"/>
      <c r="N205" s="336"/>
      <c r="O205" s="337"/>
    </row>
    <row r="206" spans="1:15" ht="25.5">
      <c r="A206" s="424"/>
      <c r="B206" s="309"/>
      <c r="C206" s="47" t="s">
        <v>301</v>
      </c>
      <c r="D206" s="58" t="s">
        <v>88</v>
      </c>
      <c r="E206" s="167">
        <f>E186+E187</f>
        <v>27710</v>
      </c>
      <c r="F206" s="336"/>
      <c r="G206" s="336"/>
      <c r="H206" s="336"/>
      <c r="I206" s="336"/>
      <c r="J206" s="336"/>
      <c r="K206" s="336"/>
      <c r="L206" s="336"/>
      <c r="M206" s="336"/>
      <c r="N206" s="336"/>
      <c r="O206" s="337"/>
    </row>
    <row r="207" spans="1:15" ht="25.5">
      <c r="A207" s="424"/>
      <c r="B207" s="309"/>
      <c r="C207" s="47" t="s">
        <v>214</v>
      </c>
      <c r="D207" s="58" t="s">
        <v>64</v>
      </c>
      <c r="E207" s="324">
        <v>41000000</v>
      </c>
      <c r="F207" s="336"/>
      <c r="G207" s="336"/>
      <c r="H207" s="336"/>
      <c r="I207" s="336"/>
      <c r="J207" s="336"/>
      <c r="K207" s="336"/>
      <c r="L207" s="336"/>
      <c r="M207" s="336"/>
      <c r="N207" s="336"/>
      <c r="O207" s="337"/>
    </row>
    <row r="208" spans="1:15" ht="25.5">
      <c r="A208" s="424"/>
      <c r="B208" s="309"/>
      <c r="C208" s="47" t="s">
        <v>215</v>
      </c>
      <c r="D208" s="58" t="s">
        <v>64</v>
      </c>
      <c r="E208" s="324">
        <v>1000000</v>
      </c>
      <c r="F208" s="336"/>
      <c r="G208" s="336"/>
      <c r="H208" s="336"/>
      <c r="I208" s="336"/>
      <c r="J208" s="336"/>
      <c r="K208" s="336"/>
      <c r="L208" s="336"/>
      <c r="M208" s="336"/>
      <c r="N208" s="336"/>
      <c r="O208" s="337"/>
    </row>
    <row r="209" spans="1:15" ht="27" customHeight="1">
      <c r="A209" s="424" t="s">
        <v>63</v>
      </c>
      <c r="B209" s="697" t="s">
        <v>205</v>
      </c>
      <c r="C209" s="697"/>
      <c r="D209" s="425" t="s">
        <v>86</v>
      </c>
      <c r="E209" s="428">
        <f>SUM(F209:O209)</f>
        <v>285849830.1146066</v>
      </c>
      <c r="F209" s="426">
        <f>E212*E213*(E214*E216+E215*E217)/1000</f>
        <v>22939379.18181818</v>
      </c>
      <c r="G209" s="426">
        <f>F209*(1+'Dữ liệu theo hoạt động'!$E$60)</f>
        <v>24040469.382545453</v>
      </c>
      <c r="H209" s="426">
        <f>G209*(1+'Dữ liệu theo hoạt động'!$E$60)</f>
        <v>25194411.912907634</v>
      </c>
      <c r="I209" s="426">
        <f>H209*(1+'Dữ liệu theo hoạt động'!$E$60)</f>
        <v>26403743.684727203</v>
      </c>
      <c r="J209" s="426">
        <f>I209*(1+'Dữ liệu theo hoạt động'!$E$60)</f>
        <v>27671123.38159411</v>
      </c>
      <c r="K209" s="426">
        <f>J209*(1+'Dữ liệu theo hoạt động'!$E$60)</f>
        <v>28999337.303910628</v>
      </c>
      <c r="L209" s="426">
        <f>K209*(1+'Dữ liệu theo hoạt động'!$E$60)</f>
        <v>30391305.49449834</v>
      </c>
      <c r="M209" s="426">
        <f>L209*(1+'Dữ liệu theo hoạt động'!$E$60)</f>
        <v>31850088.15823426</v>
      </c>
      <c r="N209" s="426">
        <f>M209*(1+'Dữ liệu theo hoạt động'!$E$60)</f>
        <v>33378892.389829505</v>
      </c>
      <c r="O209" s="427">
        <f>N209*(1+'Dữ liệu theo hoạt động'!$E$60)</f>
        <v>34981079.22454132</v>
      </c>
    </row>
    <row r="210" spans="1:16" ht="25.5">
      <c r="A210" s="424" t="s">
        <v>63</v>
      </c>
      <c r="B210" s="499"/>
      <c r="C210" s="499" t="s">
        <v>302</v>
      </c>
      <c r="D210" s="425" t="s">
        <v>86</v>
      </c>
      <c r="E210" s="428">
        <f>SUM(F210:O210)</f>
        <v>144095652.6834092</v>
      </c>
      <c r="F210" s="426">
        <f>E212*E213*E214*E216/1000</f>
        <v>11563641</v>
      </c>
      <c r="G210" s="426">
        <f>F210*(1+'Dữ liệu theo hoạt động'!$E$60)</f>
        <v>12118695.768000001</v>
      </c>
      <c r="H210" s="426">
        <f>G210*(1+'Dữ liệu theo hoạt động'!$E$60)</f>
        <v>12700393.164864002</v>
      </c>
      <c r="I210" s="426">
        <f>H210*(1+'Dữ liệu theo hoạt động'!$E$60)</f>
        <v>13310012.036777474</v>
      </c>
      <c r="J210" s="426">
        <f>I210*(1+'Dữ liệu theo hoạt động'!$E$60)</f>
        <v>13948892.614542793</v>
      </c>
      <c r="K210" s="426">
        <f>J210*(1+'Dữ liệu theo hoạt động'!$E$60)</f>
        <v>14618439.460040849</v>
      </c>
      <c r="L210" s="426">
        <f>K210*(1+'Dữ liệu theo hoạt động'!$E$60)</f>
        <v>15320124.55412281</v>
      </c>
      <c r="M210" s="426">
        <f>L210*(1+'Dữ liệu theo hoạt động'!$E$60)</f>
        <v>16055490.532720705</v>
      </c>
      <c r="N210" s="426">
        <f>M210*(1+'Dữ liệu theo hoạt động'!$E$60)</f>
        <v>16826154.0782913</v>
      </c>
      <c r="O210" s="427">
        <f>N210*(1+'Dữ liệu theo hoạt động'!$E$60)</f>
        <v>17633809.474049285</v>
      </c>
      <c r="P210" s="315" t="s">
        <v>387</v>
      </c>
    </row>
    <row r="211" spans="1:16" ht="38.25">
      <c r="A211" s="424" t="s">
        <v>63</v>
      </c>
      <c r="B211" s="499"/>
      <c r="C211" s="499" t="s">
        <v>346</v>
      </c>
      <c r="D211" s="425" t="s">
        <v>86</v>
      </c>
      <c r="E211" s="428">
        <f>SUM(F211:O211)</f>
        <v>141754177.43119746</v>
      </c>
      <c r="F211" s="426">
        <f>E212*E213*E215*E217/1000</f>
        <v>11375738.181818182</v>
      </c>
      <c r="G211" s="426">
        <f>F211*(1+'Dữ liệu theo hoạt động'!$E$60)</f>
        <v>11921773.614545455</v>
      </c>
      <c r="H211" s="426">
        <f>G211*(1+'Dữ liệu theo hoạt động'!$E$60)</f>
        <v>12494018.748043638</v>
      </c>
      <c r="I211" s="426">
        <f>H211*(1+'Dữ liệu theo hoạt động'!$E$60)</f>
        <v>13093731.647949733</v>
      </c>
      <c r="J211" s="426">
        <f>I211*(1+'Dữ liệu theo hoạt động'!$E$60)</f>
        <v>13722230.76705132</v>
      </c>
      <c r="K211" s="426">
        <f>J211*(1+'Dữ liệu theo hoạt động'!$E$60)</f>
        <v>14380897.843869785</v>
      </c>
      <c r="L211" s="426">
        <f>K211*(1+'Dữ liệu theo hoạt động'!$E$60)</f>
        <v>15071180.940375535</v>
      </c>
      <c r="M211" s="426">
        <f>L211*(1+'Dữ liệu theo hoạt động'!$E$60)</f>
        <v>15794597.625513561</v>
      </c>
      <c r="N211" s="426">
        <f>M211*(1+'Dữ liệu theo hoạt động'!$E$60)</f>
        <v>16552738.311538212</v>
      </c>
      <c r="O211" s="427">
        <f>N211*(1+'Dữ liệu theo hoạt động'!$E$60)</f>
        <v>17347269.750492048</v>
      </c>
      <c r="P211" s="315" t="s">
        <v>387</v>
      </c>
    </row>
    <row r="212" spans="1:16" ht="30.75" customHeight="1">
      <c r="A212" s="424"/>
      <c r="B212" s="506"/>
      <c r="C212" s="46" t="s">
        <v>389</v>
      </c>
      <c r="D212" s="57" t="s">
        <v>219</v>
      </c>
      <c r="E212" s="75">
        <f>E19*15%</f>
        <v>357523.2</v>
      </c>
      <c r="F212" s="336"/>
      <c r="G212" s="336"/>
      <c r="H212" s="336"/>
      <c r="I212" s="336"/>
      <c r="J212" s="336"/>
      <c r="K212" s="336"/>
      <c r="L212" s="336"/>
      <c r="M212" s="336"/>
      <c r="N212" s="336"/>
      <c r="O212" s="337"/>
      <c r="P212" s="315" t="s">
        <v>387</v>
      </c>
    </row>
    <row r="213" spans="1:15" ht="30" customHeight="1">
      <c r="A213" s="424"/>
      <c r="B213" s="506"/>
      <c r="C213" s="46" t="s">
        <v>359</v>
      </c>
      <c r="D213" s="57" t="s">
        <v>65</v>
      </c>
      <c r="E213" s="366">
        <f>'Dữ liệu theo hoạt động'!$E$17</f>
        <v>0.05</v>
      </c>
      <c r="F213" s="336"/>
      <c r="G213" s="336"/>
      <c r="H213" s="336"/>
      <c r="I213" s="336"/>
      <c r="J213" s="336"/>
      <c r="K213" s="336"/>
      <c r="L213" s="336"/>
      <c r="M213" s="336"/>
      <c r="N213" s="336"/>
      <c r="O213" s="337"/>
    </row>
    <row r="214" spans="1:15" ht="25.5">
      <c r="A214" s="424"/>
      <c r="B214" s="309"/>
      <c r="C214" s="47" t="s">
        <v>208</v>
      </c>
      <c r="D214" s="58" t="s">
        <v>180</v>
      </c>
      <c r="E214" s="332">
        <f>'Dữ liệu theo hoạt động'!$E$18</f>
        <v>24</v>
      </c>
      <c r="F214" s="336"/>
      <c r="G214" s="336"/>
      <c r="H214" s="336"/>
      <c r="I214" s="336"/>
      <c r="J214" s="336"/>
      <c r="K214" s="336"/>
      <c r="L214" s="336"/>
      <c r="M214" s="336"/>
      <c r="N214" s="336"/>
      <c r="O214" s="337"/>
    </row>
    <row r="215" spans="1:15" ht="25.5">
      <c r="A215" s="424"/>
      <c r="B215" s="309"/>
      <c r="C215" s="47" t="s">
        <v>282</v>
      </c>
      <c r="D215" s="58" t="s">
        <v>180</v>
      </c>
      <c r="E215" s="332">
        <f>'Dữ liệu theo hoạt động'!$E$19</f>
        <v>16</v>
      </c>
      <c r="F215" s="336"/>
      <c r="G215" s="336"/>
      <c r="H215" s="336"/>
      <c r="I215" s="336"/>
      <c r="J215" s="336"/>
      <c r="K215" s="336"/>
      <c r="L215" s="336"/>
      <c r="M215" s="336"/>
      <c r="N215" s="336"/>
      <c r="O215" s="337"/>
    </row>
    <row r="216" spans="1:15" ht="25.5">
      <c r="A216" s="424"/>
      <c r="B216" s="309"/>
      <c r="C216" s="47" t="s">
        <v>304</v>
      </c>
      <c r="D216" s="323" t="s">
        <v>64</v>
      </c>
      <c r="E216" s="324">
        <f>'Dữ liệu cơ bản'!$D$2</f>
        <v>26953.125</v>
      </c>
      <c r="F216" s="336"/>
      <c r="G216" s="336"/>
      <c r="H216" s="336"/>
      <c r="I216" s="336"/>
      <c r="J216" s="336"/>
      <c r="K216" s="336"/>
      <c r="L216" s="336"/>
      <c r="M216" s="336"/>
      <c r="N216" s="336"/>
      <c r="O216" s="337"/>
    </row>
    <row r="217" spans="1:15" ht="25.5">
      <c r="A217" s="424"/>
      <c r="B217" s="309"/>
      <c r="C217" s="46" t="s">
        <v>284</v>
      </c>
      <c r="D217" s="323" t="s">
        <v>64</v>
      </c>
      <c r="E217" s="333">
        <f>'Dữ liệu cơ bản'!$D$5</f>
        <v>39772.72727272727</v>
      </c>
      <c r="F217" s="336"/>
      <c r="G217" s="336"/>
      <c r="H217" s="336"/>
      <c r="I217" s="336"/>
      <c r="J217" s="336"/>
      <c r="K217" s="336"/>
      <c r="L217" s="336"/>
      <c r="M217" s="336"/>
      <c r="N217" s="336"/>
      <c r="O217" s="337"/>
    </row>
    <row r="218" spans="1:15" ht="33" customHeight="1">
      <c r="A218" s="424" t="s">
        <v>63</v>
      </c>
      <c r="B218" s="697" t="s">
        <v>241</v>
      </c>
      <c r="C218" s="697"/>
      <c r="D218" s="425" t="s">
        <v>87</v>
      </c>
      <c r="E218" s="429">
        <f>SUM(E219:E221)</f>
        <v>15850000</v>
      </c>
      <c r="F218" s="426"/>
      <c r="G218" s="426"/>
      <c r="H218" s="426"/>
      <c r="I218" s="426"/>
      <c r="J218" s="426"/>
      <c r="K218" s="426"/>
      <c r="L218" s="426"/>
      <c r="M218" s="426"/>
      <c r="N218" s="426"/>
      <c r="O218" s="427"/>
    </row>
    <row r="219" spans="1:15" ht="25.5">
      <c r="A219" s="424"/>
      <c r="B219" s="309"/>
      <c r="C219" s="46" t="s">
        <v>341</v>
      </c>
      <c r="D219" s="67" t="s">
        <v>87</v>
      </c>
      <c r="E219" s="369">
        <f>'Dữ liệu theo hoạt động'!$E$55</f>
        <v>5200000</v>
      </c>
      <c r="F219" s="336"/>
      <c r="G219" s="336"/>
      <c r="H219" s="336"/>
      <c r="I219" s="336"/>
      <c r="J219" s="336"/>
      <c r="K219" s="336"/>
      <c r="L219" s="336"/>
      <c r="M219" s="336"/>
      <c r="N219" s="336"/>
      <c r="O219" s="337"/>
    </row>
    <row r="220" spans="1:15" ht="25.5">
      <c r="A220" s="424"/>
      <c r="B220" s="309"/>
      <c r="C220" s="46" t="s">
        <v>342</v>
      </c>
      <c r="D220" s="67" t="s">
        <v>87</v>
      </c>
      <c r="E220" s="369">
        <f>'Dữ liệu theo hoạt động'!$E$56</f>
        <v>650000</v>
      </c>
      <c r="F220" s="336"/>
      <c r="G220" s="336"/>
      <c r="H220" s="336"/>
      <c r="I220" s="336"/>
      <c r="J220" s="336"/>
      <c r="K220" s="336"/>
      <c r="L220" s="336"/>
      <c r="M220" s="336"/>
      <c r="N220" s="336"/>
      <c r="O220" s="337"/>
    </row>
    <row r="221" spans="1:15" ht="25.5">
      <c r="A221" s="424"/>
      <c r="B221" s="309"/>
      <c r="C221" s="46" t="s">
        <v>335</v>
      </c>
      <c r="D221" s="67" t="s">
        <v>87</v>
      </c>
      <c r="E221" s="369">
        <f>'Dữ liệu theo hoạt động'!$E$57</f>
        <v>10000000</v>
      </c>
      <c r="F221" s="336"/>
      <c r="G221" s="336"/>
      <c r="H221" s="336"/>
      <c r="I221" s="336"/>
      <c r="J221" s="336"/>
      <c r="K221" s="336"/>
      <c r="L221" s="336"/>
      <c r="M221" s="336"/>
      <c r="N221" s="336"/>
      <c r="O221" s="337"/>
    </row>
    <row r="222" spans="1:15" ht="26.25" customHeight="1">
      <c r="A222" s="424"/>
      <c r="B222" s="696" t="s">
        <v>216</v>
      </c>
      <c r="C222" s="696"/>
      <c r="D222" s="58"/>
      <c r="E222" s="167"/>
      <c r="F222" s="336"/>
      <c r="G222" s="336"/>
      <c r="H222" s="336"/>
      <c r="I222" s="336"/>
      <c r="J222" s="336"/>
      <c r="K222" s="336"/>
      <c r="L222" s="336"/>
      <c r="M222" s="336"/>
      <c r="N222" s="336"/>
      <c r="O222" s="337"/>
    </row>
    <row r="223" spans="1:15" ht="26.25" customHeight="1">
      <c r="A223" s="424" t="s">
        <v>63</v>
      </c>
      <c r="B223" s="705" t="s">
        <v>217</v>
      </c>
      <c r="C223" s="705"/>
      <c r="D223" s="101" t="s">
        <v>86</v>
      </c>
      <c r="E223" s="430">
        <f>SUM(F223:O223)</f>
        <v>1919141985.235528</v>
      </c>
      <c r="F223" s="431">
        <f>F226*(F227*F228+F229*F230)/1000</f>
        <v>201424203.4090909</v>
      </c>
      <c r="G223" s="431">
        <f>G226*(G227*G228+G229*G230)/1000</f>
        <v>189983308.65545452</v>
      </c>
      <c r="H223" s="431">
        <f aca="true" t="shared" si="25" ref="H223:O223">H226*(H227*H228+H229*H230)/1000</f>
        <v>191842450.70621893</v>
      </c>
      <c r="I223" s="431">
        <f t="shared" si="25"/>
        <v>192877462.4702999</v>
      </c>
      <c r="J223" s="431">
        <f t="shared" si="25"/>
        <v>193175967.10981485</v>
      </c>
      <c r="K223" s="431">
        <f t="shared" si="25"/>
        <v>192818292.6377607</v>
      </c>
      <c r="L223" s="431">
        <f t="shared" si="25"/>
        <v>191878017.95360357</v>
      </c>
      <c r="M223" s="431">
        <f t="shared" si="25"/>
        <v>190422480.385127</v>
      </c>
      <c r="N223" s="431">
        <f t="shared" si="25"/>
        <v>188513247.3477868</v>
      </c>
      <c r="O223" s="432">
        <f t="shared" si="25"/>
        <v>186206554.56037068</v>
      </c>
    </row>
    <row r="224" spans="1:16" ht="38.25">
      <c r="A224" s="424" t="s">
        <v>63</v>
      </c>
      <c r="B224" s="512"/>
      <c r="C224" s="499" t="s">
        <v>285</v>
      </c>
      <c r="D224" s="101" t="s">
        <v>86</v>
      </c>
      <c r="E224" s="430">
        <f>SUM(F224:O224)</f>
        <v>1126756694.3017511</v>
      </c>
      <c r="F224" s="431">
        <f>F226*F227*F228/1000</f>
        <v>144545512.5</v>
      </c>
      <c r="G224" s="431">
        <f>G226*G227*G228/1000</f>
        <v>136335327.39</v>
      </c>
      <c r="H224" s="431">
        <f aca="true" t="shared" si="26" ref="H224:O224">H226*H227*H228/1000</f>
        <v>128591480.794248</v>
      </c>
      <c r="I224" s="431">
        <f t="shared" si="26"/>
        <v>121287484.68513474</v>
      </c>
      <c r="J224" s="431">
        <f t="shared" si="26"/>
        <v>114398355.5550191</v>
      </c>
      <c r="K224" s="431">
        <f t="shared" si="26"/>
        <v>107900528.95949404</v>
      </c>
      <c r="L224" s="431">
        <f t="shared" si="26"/>
        <v>101771778.91459477</v>
      </c>
      <c r="M224" s="431">
        <f t="shared" si="26"/>
        <v>95991141.8722458</v>
      </c>
      <c r="N224" s="431">
        <f t="shared" si="26"/>
        <v>90538845.01390223</v>
      </c>
      <c r="O224" s="432">
        <f t="shared" si="26"/>
        <v>85396238.6171126</v>
      </c>
      <c r="P224" s="315" t="s">
        <v>387</v>
      </c>
    </row>
    <row r="225" spans="1:16" ht="30" customHeight="1">
      <c r="A225" s="424" t="s">
        <v>63</v>
      </c>
      <c r="B225" s="512"/>
      <c r="C225" s="499" t="s">
        <v>360</v>
      </c>
      <c r="D225" s="101" t="s">
        <v>86</v>
      </c>
      <c r="E225" s="430">
        <f>SUM(F225:O225)</f>
        <v>792385290.9337766</v>
      </c>
      <c r="F225" s="431">
        <f>F226*F229*F230/1000</f>
        <v>56878690.909090914</v>
      </c>
      <c r="G225" s="431">
        <f>G226*G229*G230/1000</f>
        <v>53647981.26545455</v>
      </c>
      <c r="H225" s="431">
        <f aca="true" t="shared" si="27" ref="H225:O225">H226*H229*H230/1000</f>
        <v>63250969.911970906</v>
      </c>
      <c r="I225" s="431">
        <f t="shared" si="27"/>
        <v>71589977.78516516</v>
      </c>
      <c r="J225" s="431">
        <f t="shared" si="27"/>
        <v>78777611.55479574</v>
      </c>
      <c r="K225" s="431">
        <f t="shared" si="27"/>
        <v>84917763.67826669</v>
      </c>
      <c r="L225" s="431">
        <f t="shared" si="27"/>
        <v>90106239.03900881</v>
      </c>
      <c r="M225" s="431">
        <f t="shared" si="27"/>
        <v>94431338.51288122</v>
      </c>
      <c r="N225" s="431">
        <f t="shared" si="27"/>
        <v>97974402.33388454</v>
      </c>
      <c r="O225" s="432">
        <f t="shared" si="27"/>
        <v>100810315.94325809</v>
      </c>
      <c r="P225" s="315" t="s">
        <v>387</v>
      </c>
    </row>
    <row r="226" spans="1:16" ht="38.25">
      <c r="A226" s="424"/>
      <c r="B226" s="334"/>
      <c r="C226" s="46" t="s">
        <v>389</v>
      </c>
      <c r="D226" s="57" t="s">
        <v>219</v>
      </c>
      <c r="E226" s="75">
        <f>E212</f>
        <v>357523.2</v>
      </c>
      <c r="F226" s="321">
        <f>E226</f>
        <v>357523.2</v>
      </c>
      <c r="G226" s="167">
        <f>F226*(1-'Dữ liệu theo hoạt động'!$E$34)</f>
        <v>321770.88</v>
      </c>
      <c r="H226" s="167">
        <f>G226*(1-'Dữ liệu theo hoạt động'!$E$34)</f>
        <v>289593.792</v>
      </c>
      <c r="I226" s="167">
        <f>H226*(1-'Dữ liệu theo hoạt động'!$E$34)</f>
        <v>260634.41280000002</v>
      </c>
      <c r="J226" s="167">
        <f>I226*(1-'Dữ liệu theo hoạt động'!$E$34)</f>
        <v>234570.97152000002</v>
      </c>
      <c r="K226" s="167">
        <f>J226*(1-'Dữ liệu theo hoạt động'!$E$34)</f>
        <v>211113.87436800002</v>
      </c>
      <c r="L226" s="167">
        <f>K226*(1-'Dữ liệu theo hoạt động'!$E$34)</f>
        <v>190002.48693120002</v>
      </c>
      <c r="M226" s="167">
        <f>L226*(1-'Dữ liệu theo hoạt động'!$E$34)</f>
        <v>171002.23823808003</v>
      </c>
      <c r="N226" s="167">
        <f>M226*(1-'Dữ liệu theo hoạt động'!$E$34)</f>
        <v>153902.01441427204</v>
      </c>
      <c r="O226" s="374">
        <f>N226*(1-'Dữ liệu theo hoạt động'!$E$34)</f>
        <v>138511.81297284484</v>
      </c>
      <c r="P226" s="315" t="s">
        <v>387</v>
      </c>
    </row>
    <row r="227" spans="1:15" ht="25.5">
      <c r="A227" s="424"/>
      <c r="B227" s="309"/>
      <c r="C227" s="47" t="s">
        <v>220</v>
      </c>
      <c r="D227" s="58" t="s">
        <v>180</v>
      </c>
      <c r="E227" s="321">
        <f>'Dữ liệu theo hoạt động'!$E$30</f>
        <v>15</v>
      </c>
      <c r="F227" s="321">
        <f>E227</f>
        <v>15</v>
      </c>
      <c r="G227" s="167">
        <f aca="true" t="shared" si="28" ref="G227:O227">F227</f>
        <v>15</v>
      </c>
      <c r="H227" s="167">
        <f t="shared" si="28"/>
        <v>15</v>
      </c>
      <c r="I227" s="167">
        <f t="shared" si="28"/>
        <v>15</v>
      </c>
      <c r="J227" s="167">
        <f t="shared" si="28"/>
        <v>15</v>
      </c>
      <c r="K227" s="167">
        <f t="shared" si="28"/>
        <v>15</v>
      </c>
      <c r="L227" s="167">
        <f t="shared" si="28"/>
        <v>15</v>
      </c>
      <c r="M227" s="167">
        <f t="shared" si="28"/>
        <v>15</v>
      </c>
      <c r="N227" s="167">
        <f t="shared" si="28"/>
        <v>15</v>
      </c>
      <c r="O227" s="374">
        <f t="shared" si="28"/>
        <v>15</v>
      </c>
    </row>
    <row r="228" spans="1:15" ht="25.5">
      <c r="A228" s="424"/>
      <c r="B228" s="309"/>
      <c r="C228" s="47" t="s">
        <v>221</v>
      </c>
      <c r="D228" s="58" t="s">
        <v>64</v>
      </c>
      <c r="E228" s="321">
        <f>'Dữ liệu cơ bản'!$D$2</f>
        <v>26953.125</v>
      </c>
      <c r="F228" s="321">
        <f>E228</f>
        <v>26953.125</v>
      </c>
      <c r="G228" s="321">
        <f>F228*(1+'Dữ liệu theo hoạt động'!$E$60)</f>
        <v>28246.875</v>
      </c>
      <c r="H228" s="321">
        <f>G228*(1+'Dữ liệu theo hoạt động'!$E$60)</f>
        <v>29602.725000000002</v>
      </c>
      <c r="I228" s="321">
        <f>H228*(1+'Dữ liệu theo hoạt động'!$E$60)</f>
        <v>31023.655800000004</v>
      </c>
      <c r="J228" s="321">
        <f>I228*(1+'Dữ liệu theo hoạt động'!$E$60)</f>
        <v>32512.791278400007</v>
      </c>
      <c r="K228" s="321">
        <f>J228*(1+'Dữ liệu theo hoạt động'!$E$60)</f>
        <v>34073.40525976321</v>
      </c>
      <c r="L228" s="321">
        <f>K228*(1+'Dữ liệu theo hoạt động'!$E$60)</f>
        <v>35708.92871223185</v>
      </c>
      <c r="M228" s="321">
        <f>L228*(1+'Dữ liệu theo hoạt động'!$E$60)</f>
        <v>37422.95729041898</v>
      </c>
      <c r="N228" s="321">
        <f>M228*(1+'Dữ liệu theo hoạt động'!$E$60)</f>
        <v>39219.25924035909</v>
      </c>
      <c r="O228" s="338">
        <f>N228*(1+'Dữ liệu theo hoạt động'!$E$60)</f>
        <v>41101.78368389633</v>
      </c>
    </row>
    <row r="229" spans="1:15" ht="25.5">
      <c r="A229" s="424"/>
      <c r="B229" s="309"/>
      <c r="C229" s="47" t="s">
        <v>306</v>
      </c>
      <c r="D229" s="58" t="s">
        <v>180</v>
      </c>
      <c r="E229" s="321">
        <f>'Dữ liệu theo hoạt động'!$E$32</f>
        <v>4</v>
      </c>
      <c r="F229" s="321">
        <f>E229</f>
        <v>4</v>
      </c>
      <c r="G229" s="321">
        <v>4</v>
      </c>
      <c r="H229" s="321">
        <v>5</v>
      </c>
      <c r="I229" s="321">
        <v>6</v>
      </c>
      <c r="J229" s="321">
        <v>7</v>
      </c>
      <c r="K229" s="321">
        <v>8</v>
      </c>
      <c r="L229" s="321">
        <v>9</v>
      </c>
      <c r="M229" s="321">
        <v>10</v>
      </c>
      <c r="N229" s="321">
        <v>11</v>
      </c>
      <c r="O229" s="338">
        <v>12</v>
      </c>
    </row>
    <row r="230" spans="1:15" ht="25.5">
      <c r="A230" s="424"/>
      <c r="B230" s="309"/>
      <c r="C230" s="46" t="s">
        <v>222</v>
      </c>
      <c r="D230" s="58" t="s">
        <v>64</v>
      </c>
      <c r="E230" s="321">
        <f>'Dữ liệu cơ bản'!$D$5</f>
        <v>39772.72727272727</v>
      </c>
      <c r="F230" s="321">
        <f>E230</f>
        <v>39772.72727272727</v>
      </c>
      <c r="G230" s="321">
        <f>F230*(1+'Dữ liệu theo hoạt động'!$E$60)</f>
        <v>41681.818181818184</v>
      </c>
      <c r="H230" s="321">
        <f>G230*(1+'Dữ liệu theo hoạt động'!$E$60)</f>
        <v>43682.545454545456</v>
      </c>
      <c r="I230" s="321">
        <f>H230*(1+'Dữ liệu theo hoạt động'!$E$60)</f>
        <v>45779.30763636364</v>
      </c>
      <c r="J230" s="321">
        <f>I230*(1+'Dữ liệu theo hoạt động'!$E$60)</f>
        <v>47976.7144029091</v>
      </c>
      <c r="K230" s="321">
        <f>J230*(1+'Dữ liệu theo hoạt động'!$E$60)</f>
        <v>50279.596694248736</v>
      </c>
      <c r="L230" s="321">
        <f>K230*(1+'Dữ liệu theo hoạt động'!$E$60)</f>
        <v>52693.01733557268</v>
      </c>
      <c r="M230" s="321">
        <f>L230*(1+'Dữ liệu theo hoạt động'!$E$60)</f>
        <v>55222.28216768017</v>
      </c>
      <c r="N230" s="321">
        <f>M230*(1+'Dữ liệu theo hoạt động'!$E$60)</f>
        <v>57872.95171172882</v>
      </c>
      <c r="O230" s="338">
        <f>N230*(1+'Dữ liệu theo hoạt động'!$E$60)</f>
        <v>60650.853393891804</v>
      </c>
    </row>
    <row r="231" spans="1:15" ht="26.25" customHeight="1">
      <c r="A231" s="424" t="s">
        <v>63</v>
      </c>
      <c r="B231" s="706" t="s">
        <v>223</v>
      </c>
      <c r="C231" s="706"/>
      <c r="D231" s="425" t="s">
        <v>87</v>
      </c>
      <c r="E231" s="433">
        <f>SUM(F231:O231)</f>
        <v>20453533250.535957</v>
      </c>
      <c r="F231" s="431">
        <f>(E232*E234+E235*E233)*E238/1000</f>
        <v>3160589850</v>
      </c>
      <c r="G231" s="431">
        <f>(E236*E234+E237*E235)*E238/1000</f>
        <v>1581262650</v>
      </c>
      <c r="H231" s="431">
        <f>G231*(1+'Dữ liệu theo hoạt động'!$E$60)</f>
        <v>1657163257.2</v>
      </c>
      <c r="I231" s="431">
        <f>H231*(1+'Dữ liệu theo hoạt động'!$E$60)</f>
        <v>1736707093.5456002</v>
      </c>
      <c r="J231" s="431">
        <f>I231*(1+'Dữ liệu theo hoạt động'!$E$60)</f>
        <v>1820069034.035789</v>
      </c>
      <c r="K231" s="431">
        <f>J231*(1+'Dữ liệu theo hoạt động'!$E$60)</f>
        <v>1907432347.669507</v>
      </c>
      <c r="L231" s="431">
        <f>K231*(1+'Dữ liệu theo hoạt động'!$E$60)</f>
        <v>1998989100.3576434</v>
      </c>
      <c r="M231" s="431">
        <f>L231*(1+'Dữ liệu theo hoạt động'!$E$60)</f>
        <v>2094940577.1748104</v>
      </c>
      <c r="N231" s="431">
        <f>M231*(1+'Dữ liệu theo hoạt động'!$E$60)</f>
        <v>2195497724.8792014</v>
      </c>
      <c r="O231" s="432">
        <f>N231*(1+'Dữ liệu theo hoạt động'!$E$60)</f>
        <v>2300881615.6734033</v>
      </c>
    </row>
    <row r="232" spans="1:16" ht="24" customHeight="1">
      <c r="A232" s="424"/>
      <c r="B232" s="309"/>
      <c r="C232" s="46" t="s">
        <v>307</v>
      </c>
      <c r="D232" s="57" t="s">
        <v>308</v>
      </c>
      <c r="E232" s="321">
        <f>'Dữ liệu theo hoạt động'!$E$36</f>
        <v>5</v>
      </c>
      <c r="F232" s="321"/>
      <c r="G232" s="321"/>
      <c r="H232" s="321"/>
      <c r="I232" s="321"/>
      <c r="J232" s="321"/>
      <c r="K232" s="321"/>
      <c r="L232" s="321"/>
      <c r="M232" s="321"/>
      <c r="N232" s="321"/>
      <c r="O232" s="338"/>
      <c r="P232" s="315" t="s">
        <v>387</v>
      </c>
    </row>
    <row r="233" spans="1:15" ht="24" customHeight="1">
      <c r="A233" s="424"/>
      <c r="B233" s="309"/>
      <c r="C233" s="47" t="s">
        <v>309</v>
      </c>
      <c r="D233" s="57" t="s">
        <v>308</v>
      </c>
      <c r="E233" s="321">
        <f>'Dữ liệu theo hoạt động'!$E$37</f>
        <v>2</v>
      </c>
      <c r="F233" s="321"/>
      <c r="G233" s="321"/>
      <c r="H233" s="321"/>
      <c r="I233" s="321"/>
      <c r="J233" s="321"/>
      <c r="K233" s="321"/>
      <c r="L233" s="321"/>
      <c r="M233" s="321"/>
      <c r="N233" s="321"/>
      <c r="O233" s="338"/>
    </row>
    <row r="234" spans="1:15" ht="25.5">
      <c r="A234" s="424"/>
      <c r="B234" s="309"/>
      <c r="C234" s="46" t="s">
        <v>291</v>
      </c>
      <c r="D234" s="57" t="s">
        <v>238</v>
      </c>
      <c r="E234" s="324">
        <f>E186</f>
        <v>34</v>
      </c>
      <c r="F234" s="321"/>
      <c r="G234" s="321"/>
      <c r="H234" s="321"/>
      <c r="I234" s="321"/>
      <c r="J234" s="321"/>
      <c r="K234" s="321"/>
      <c r="L234" s="321"/>
      <c r="M234" s="321"/>
      <c r="N234" s="321"/>
      <c r="O234" s="338"/>
    </row>
    <row r="235" spans="1:15" ht="25.5">
      <c r="A235" s="424"/>
      <c r="B235" s="309"/>
      <c r="C235" s="46" t="s">
        <v>240</v>
      </c>
      <c r="D235" s="57" t="s">
        <v>238</v>
      </c>
      <c r="E235" s="324">
        <f>E187</f>
        <v>27676</v>
      </c>
      <c r="F235" s="321"/>
      <c r="G235" s="321"/>
      <c r="H235" s="321"/>
      <c r="I235" s="321"/>
      <c r="J235" s="321"/>
      <c r="K235" s="321"/>
      <c r="L235" s="321"/>
      <c r="M235" s="321"/>
      <c r="N235" s="321"/>
      <c r="O235" s="338"/>
    </row>
    <row r="236" spans="1:15" ht="25.5">
      <c r="A236" s="424"/>
      <c r="B236" s="309"/>
      <c r="C236" s="46" t="s">
        <v>310</v>
      </c>
      <c r="D236" s="57" t="s">
        <v>308</v>
      </c>
      <c r="E236" s="321">
        <f>'Dữ liệu theo hoạt động'!$E$38</f>
        <v>3</v>
      </c>
      <c r="F236" s="321"/>
      <c r="G236" s="321"/>
      <c r="H236" s="321"/>
      <c r="I236" s="321"/>
      <c r="J236" s="321"/>
      <c r="K236" s="321"/>
      <c r="L236" s="321"/>
      <c r="M236" s="321"/>
      <c r="N236" s="321"/>
      <c r="O236" s="338"/>
    </row>
    <row r="237" spans="1:15" ht="25.5">
      <c r="A237" s="424"/>
      <c r="B237" s="309"/>
      <c r="C237" s="46" t="s">
        <v>311</v>
      </c>
      <c r="D237" s="57" t="s">
        <v>308</v>
      </c>
      <c r="E237" s="321">
        <f>'Dữ liệu theo hoạt động'!$E$39</f>
        <v>1</v>
      </c>
      <c r="F237" s="321"/>
      <c r="G237" s="321"/>
      <c r="H237" s="321"/>
      <c r="I237" s="321"/>
      <c r="J237" s="321"/>
      <c r="K237" s="321"/>
      <c r="L237" s="321"/>
      <c r="M237" s="321"/>
      <c r="N237" s="321"/>
      <c r="O237" s="338"/>
    </row>
    <row r="238" spans="1:15" ht="25.5">
      <c r="A238" s="424"/>
      <c r="B238" s="309"/>
      <c r="C238" s="47" t="s">
        <v>228</v>
      </c>
      <c r="D238" s="58" t="s">
        <v>64</v>
      </c>
      <c r="E238" s="167">
        <f>'Dữ liệu theo hoạt động'!$E$40</f>
        <v>56925000</v>
      </c>
      <c r="F238" s="321"/>
      <c r="G238" s="321"/>
      <c r="H238" s="321"/>
      <c r="I238" s="321"/>
      <c r="J238" s="321"/>
      <c r="K238" s="321"/>
      <c r="L238" s="321"/>
      <c r="M238" s="321"/>
      <c r="N238" s="321"/>
      <c r="O238" s="338"/>
    </row>
    <row r="239" spans="1:15" ht="28.5" customHeight="1">
      <c r="A239" s="424" t="s">
        <v>63</v>
      </c>
      <c r="B239" s="706" t="s">
        <v>312</v>
      </c>
      <c r="C239" s="706"/>
      <c r="D239" s="101" t="s">
        <v>86</v>
      </c>
      <c r="E239" s="434">
        <f>SUM(F239:O239)</f>
        <v>221360153.27034593</v>
      </c>
      <c r="F239" s="431">
        <f>((E240*E241*E246)+(E244*E245)+E247*E246+E243*E249)/1000</f>
        <v>49874659.5</v>
      </c>
      <c r="G239" s="426">
        <f>F239*(1+'Dữ liệu theo hoạt động'!$E$60)*$E$102</f>
        <v>15680592.946800001</v>
      </c>
      <c r="H239" s="426">
        <f>G239*(1+'Dữ liệu theo hoạt động'!$E$60)</f>
        <v>16433261.408246402</v>
      </c>
      <c r="I239" s="426">
        <f>H239*(1+'Dữ liệu theo hoạt động'!$E$60)</f>
        <v>17222057.95584223</v>
      </c>
      <c r="J239" s="426">
        <f>I239*(1+'Dữ liệu theo hoạt động'!$E$60)</f>
        <v>18048716.737722658</v>
      </c>
      <c r="K239" s="426">
        <f>J239*(1+'Dữ liệu theo hoạt động'!$E$60)</f>
        <v>18915055.141133346</v>
      </c>
      <c r="L239" s="426">
        <f>K239*(1+'Dữ liệu theo hoạt động'!$E$60)</f>
        <v>19822977.787907746</v>
      </c>
      <c r="M239" s="426">
        <f>L239*(1+'Dữ liệu theo hoạt động'!$E$60)</f>
        <v>20774480.72172732</v>
      </c>
      <c r="N239" s="426">
        <f>M239*(1+'Dữ liệu theo hoạt động'!$E$60)</f>
        <v>21771655.79637023</v>
      </c>
      <c r="O239" s="427">
        <f>N239*(1+'Dữ liệu theo hoạt động'!$E$60)</f>
        <v>22816695.274596002</v>
      </c>
    </row>
    <row r="240" spans="1:16" ht="25.5">
      <c r="A240" s="424"/>
      <c r="B240" s="334"/>
      <c r="C240" s="46" t="s">
        <v>230</v>
      </c>
      <c r="D240" s="58" t="s">
        <v>180</v>
      </c>
      <c r="E240" s="167">
        <f>'Dữ liệu theo hoạt động'!$E$42</f>
        <v>24</v>
      </c>
      <c r="F240" s="167"/>
      <c r="G240" s="378"/>
      <c r="H240" s="378"/>
      <c r="I240" s="378"/>
      <c r="J240" s="378"/>
      <c r="K240" s="378"/>
      <c r="L240" s="378"/>
      <c r="M240" s="378"/>
      <c r="N240" s="378"/>
      <c r="O240" s="379"/>
      <c r="P240" s="377" t="s">
        <v>388</v>
      </c>
    </row>
    <row r="241" spans="1:15" ht="25.5">
      <c r="A241" s="424"/>
      <c r="B241" s="309"/>
      <c r="C241" s="46" t="s">
        <v>178</v>
      </c>
      <c r="D241" s="58" t="s">
        <v>64</v>
      </c>
      <c r="E241" s="167">
        <f>'Dữ liệu theo hoạt động'!$E$43</f>
        <v>26953.125</v>
      </c>
      <c r="F241" s="321"/>
      <c r="G241" s="322"/>
      <c r="H241" s="322"/>
      <c r="I241" s="322"/>
      <c r="J241" s="322"/>
      <c r="K241" s="322"/>
      <c r="L241" s="322"/>
      <c r="M241" s="322"/>
      <c r="N241" s="322"/>
      <c r="O241" s="60"/>
    </row>
    <row r="242" spans="1:15" ht="25.5">
      <c r="A242" s="424"/>
      <c r="B242" s="309"/>
      <c r="C242" s="46" t="s">
        <v>231</v>
      </c>
      <c r="D242" s="57" t="s">
        <v>169</v>
      </c>
      <c r="E242" s="167">
        <f>'Dữ liệu theo hoạt động'!$E$44</f>
        <v>75</v>
      </c>
      <c r="F242" s="321"/>
      <c r="G242" s="322"/>
      <c r="H242" s="322"/>
      <c r="I242" s="322"/>
      <c r="J242" s="322"/>
      <c r="K242" s="322"/>
      <c r="L242" s="322"/>
      <c r="M242" s="322"/>
      <c r="N242" s="322"/>
      <c r="O242" s="60"/>
    </row>
    <row r="243" spans="1:15" ht="25.5">
      <c r="A243" s="424"/>
      <c r="B243" s="309"/>
      <c r="C243" s="46" t="s">
        <v>353</v>
      </c>
      <c r="D243" s="57" t="s">
        <v>358</v>
      </c>
      <c r="E243" s="321">
        <f>E246/E242</f>
        <v>378.08</v>
      </c>
      <c r="F243" s="321"/>
      <c r="G243" s="322"/>
      <c r="H243" s="322"/>
      <c r="I243" s="322"/>
      <c r="J243" s="322"/>
      <c r="K243" s="322"/>
      <c r="L243" s="322"/>
      <c r="M243" s="322"/>
      <c r="N243" s="322"/>
      <c r="O243" s="60"/>
    </row>
    <row r="244" spans="1:15" ht="25.5">
      <c r="A244" s="424"/>
      <c r="B244" s="309"/>
      <c r="C244" s="46" t="s">
        <v>232</v>
      </c>
      <c r="D244" s="58" t="s">
        <v>64</v>
      </c>
      <c r="E244" s="167">
        <f>'Dữ liệu theo hoạt động'!$E$45</f>
        <v>100000</v>
      </c>
      <c r="F244" s="321"/>
      <c r="G244" s="322"/>
      <c r="H244" s="322"/>
      <c r="I244" s="322"/>
      <c r="J244" s="322"/>
      <c r="K244" s="322"/>
      <c r="L244" s="322"/>
      <c r="M244" s="322"/>
      <c r="N244" s="322"/>
      <c r="O244" s="60"/>
    </row>
    <row r="245" spans="1:15" ht="25.5">
      <c r="A245" s="424"/>
      <c r="B245" s="309"/>
      <c r="C245" s="528" t="s">
        <v>314</v>
      </c>
      <c r="D245" s="57" t="s">
        <v>169</v>
      </c>
      <c r="E245" s="167">
        <f>E240*E243</f>
        <v>9073.92</v>
      </c>
      <c r="F245" s="321"/>
      <c r="G245" s="322"/>
      <c r="H245" s="322"/>
      <c r="I245" s="322"/>
      <c r="J245" s="322"/>
      <c r="K245" s="322"/>
      <c r="L245" s="322"/>
      <c r="M245" s="322"/>
      <c r="N245" s="322"/>
      <c r="O245" s="60"/>
    </row>
    <row r="246" spans="1:15" ht="25.5">
      <c r="A246" s="424"/>
      <c r="B246" s="309"/>
      <c r="C246" s="46" t="s">
        <v>233</v>
      </c>
      <c r="D246" s="57" t="s">
        <v>169</v>
      </c>
      <c r="E246" s="321">
        <f>E250*E251+E252*E253</f>
        <v>28356</v>
      </c>
      <c r="F246" s="321"/>
      <c r="G246" s="322"/>
      <c r="H246" s="322"/>
      <c r="I246" s="322"/>
      <c r="J246" s="322"/>
      <c r="K246" s="322"/>
      <c r="L246" s="322"/>
      <c r="M246" s="322"/>
      <c r="N246" s="322"/>
      <c r="O246" s="60"/>
    </row>
    <row r="247" spans="1:15" ht="25.5">
      <c r="A247" s="424"/>
      <c r="B247" s="309"/>
      <c r="C247" s="46" t="s">
        <v>234</v>
      </c>
      <c r="D247" s="58" t="s">
        <v>64</v>
      </c>
      <c r="E247" s="321">
        <f>'Dữ liệu theo hoạt động'!$E$47</f>
        <v>200000</v>
      </c>
      <c r="F247" s="321"/>
      <c r="G247" s="322"/>
      <c r="H247" s="322"/>
      <c r="I247" s="322"/>
      <c r="J247" s="322"/>
      <c r="K247" s="322"/>
      <c r="L247" s="322"/>
      <c r="M247" s="322"/>
      <c r="N247" s="322"/>
      <c r="O247" s="60"/>
    </row>
    <row r="248" spans="1:15" ht="25.5">
      <c r="A248" s="424"/>
      <c r="B248" s="309"/>
      <c r="C248" s="46" t="s">
        <v>354</v>
      </c>
      <c r="D248" s="58" t="s">
        <v>65</v>
      </c>
      <c r="E248" s="320">
        <f>'Dữ liệu theo hoạt động'!$E$48</f>
        <v>0.3</v>
      </c>
      <c r="F248" s="321"/>
      <c r="G248" s="322"/>
      <c r="H248" s="322"/>
      <c r="I248" s="322"/>
      <c r="J248" s="322"/>
      <c r="K248" s="322"/>
      <c r="L248" s="322"/>
      <c r="M248" s="322"/>
      <c r="N248" s="322"/>
      <c r="O248" s="60"/>
    </row>
    <row r="249" spans="1:15" ht="25.5">
      <c r="A249" s="424"/>
      <c r="B249" s="309"/>
      <c r="C249" s="46" t="s">
        <v>316</v>
      </c>
      <c r="D249" s="58" t="s">
        <v>64</v>
      </c>
      <c r="E249" s="167">
        <f>'Dữ liệu theo hoạt động'!$E$49</f>
        <v>66000000</v>
      </c>
      <c r="F249" s="321"/>
      <c r="G249" s="322"/>
      <c r="H249" s="322"/>
      <c r="I249" s="322"/>
      <c r="J249" s="322"/>
      <c r="K249" s="322"/>
      <c r="L249" s="322"/>
      <c r="M249" s="322"/>
      <c r="N249" s="322"/>
      <c r="O249" s="60"/>
    </row>
    <row r="250" spans="1:15" ht="25.5">
      <c r="A250" s="424"/>
      <c r="B250" s="309"/>
      <c r="C250" s="46" t="s">
        <v>237</v>
      </c>
      <c r="D250" s="57" t="s">
        <v>169</v>
      </c>
      <c r="E250" s="321">
        <f>'Dữ liệu theo hoạt động'!$E$50</f>
        <v>20</v>
      </c>
      <c r="F250" s="321"/>
      <c r="G250" s="322"/>
      <c r="H250" s="322"/>
      <c r="I250" s="322"/>
      <c r="J250" s="322"/>
      <c r="K250" s="322"/>
      <c r="L250" s="322"/>
      <c r="M250" s="322"/>
      <c r="N250" s="322"/>
      <c r="O250" s="60"/>
    </row>
    <row r="251" spans="1:15" ht="25.5">
      <c r="A251" s="424"/>
      <c r="B251" s="309"/>
      <c r="C251" s="46" t="s">
        <v>291</v>
      </c>
      <c r="D251" s="57" t="s">
        <v>238</v>
      </c>
      <c r="E251" s="321">
        <f>'Dữ liệu cơ bản'!J7</f>
        <v>34</v>
      </c>
      <c r="F251" s="321"/>
      <c r="G251" s="322"/>
      <c r="H251" s="322"/>
      <c r="I251" s="322"/>
      <c r="J251" s="322"/>
      <c r="K251" s="322"/>
      <c r="L251" s="322"/>
      <c r="M251" s="322"/>
      <c r="N251" s="322"/>
      <c r="O251" s="60"/>
    </row>
    <row r="252" spans="1:15" ht="29.25" customHeight="1">
      <c r="A252" s="424"/>
      <c r="B252" s="309"/>
      <c r="C252" s="46" t="s">
        <v>239</v>
      </c>
      <c r="D252" s="57" t="s">
        <v>169</v>
      </c>
      <c r="E252" s="321">
        <f>'Dữ liệu theo hoạt động'!$E$52</f>
        <v>1</v>
      </c>
      <c r="F252" s="321"/>
      <c r="G252" s="322"/>
      <c r="H252" s="322"/>
      <c r="I252" s="322"/>
      <c r="J252" s="322"/>
      <c r="K252" s="322"/>
      <c r="L252" s="322"/>
      <c r="M252" s="322"/>
      <c r="N252" s="322"/>
      <c r="O252" s="60"/>
    </row>
    <row r="253" spans="1:15" ht="26.25" thickBot="1">
      <c r="A253" s="435"/>
      <c r="B253" s="381"/>
      <c r="C253" s="105" t="s">
        <v>240</v>
      </c>
      <c r="D253" s="57" t="s">
        <v>238</v>
      </c>
      <c r="E253" s="382">
        <f>'Dữ liệu cơ bản'!J6</f>
        <v>27676</v>
      </c>
      <c r="F253" s="382"/>
      <c r="G253" s="383"/>
      <c r="H253" s="383"/>
      <c r="I253" s="383"/>
      <c r="J253" s="383"/>
      <c r="K253" s="383"/>
      <c r="L253" s="383"/>
      <c r="M253" s="383"/>
      <c r="N253" s="383"/>
      <c r="O253" s="384"/>
    </row>
    <row r="254" spans="1:15" ht="26.25" customHeight="1">
      <c r="A254" s="421" t="s">
        <v>63</v>
      </c>
      <c r="B254" s="702" t="s">
        <v>364</v>
      </c>
      <c r="C254" s="702"/>
      <c r="D254" s="509" t="s">
        <v>86</v>
      </c>
      <c r="E254" s="436">
        <f>SUM(F254:O254)</f>
        <v>48244624642.38722</v>
      </c>
      <c r="F254" s="437">
        <f aca="true" t="shared" si="29" ref="F254:O254">F189+F194+F198+F202+F209+F223+F231+F239</f>
        <v>6818561115.590909</v>
      </c>
      <c r="G254" s="437">
        <f t="shared" si="29"/>
        <v>3820905041.6128</v>
      </c>
      <c r="H254" s="437">
        <f t="shared" si="29"/>
        <v>3997048426.8455167</v>
      </c>
      <c r="I254" s="437">
        <f t="shared" si="29"/>
        <v>4180733325.464284</v>
      </c>
      <c r="J254" s="437">
        <f t="shared" si="29"/>
        <v>4372448911.52751</v>
      </c>
      <c r="K254" s="437">
        <f t="shared" si="29"/>
        <v>4572696338.3875065</v>
      </c>
      <c r="L254" s="437">
        <f t="shared" si="29"/>
        <v>4781990209.899337</v>
      </c>
      <c r="M254" s="437">
        <f t="shared" si="29"/>
        <v>5000860057.544256</v>
      </c>
      <c r="N254" s="437">
        <f t="shared" si="29"/>
        <v>5229851828.210555</v>
      </c>
      <c r="O254" s="438">
        <f t="shared" si="29"/>
        <v>5469529387.304551</v>
      </c>
    </row>
    <row r="255" spans="1:15" ht="25.5">
      <c r="A255" s="424" t="s">
        <v>63</v>
      </c>
      <c r="B255" s="513"/>
      <c r="C255" s="102" t="s">
        <v>365</v>
      </c>
      <c r="D255" s="102" t="s">
        <v>89</v>
      </c>
      <c r="E255" s="439">
        <f>SUM(F255:O255)</f>
        <v>47310485174.022255</v>
      </c>
      <c r="F255" s="439">
        <f aca="true" t="shared" si="30" ref="F255:O255">F189+F194+F198+F202+F210+F224+F231+F239</f>
        <v>6750306686.5</v>
      </c>
      <c r="G255" s="439">
        <f t="shared" si="30"/>
        <v>3755335286.7328</v>
      </c>
      <c r="H255" s="439">
        <f t="shared" si="30"/>
        <v>3921303438.1855025</v>
      </c>
      <c r="I255" s="439">
        <f t="shared" si="30"/>
        <v>4096049616.031169</v>
      </c>
      <c r="J255" s="439">
        <f t="shared" si="30"/>
        <v>4279949069.2056637</v>
      </c>
      <c r="K255" s="439">
        <f t="shared" si="30"/>
        <v>4473397676.865371</v>
      </c>
      <c r="L255" s="439">
        <f t="shared" si="30"/>
        <v>4676812789.919952</v>
      </c>
      <c r="M255" s="439">
        <f t="shared" si="30"/>
        <v>4890634121.405861</v>
      </c>
      <c r="N255" s="439">
        <f t="shared" si="30"/>
        <v>5115324687.565131</v>
      </c>
      <c r="O255" s="440">
        <f t="shared" si="30"/>
        <v>5351371801.610801</v>
      </c>
    </row>
    <row r="256" spans="1:15" ht="27" customHeight="1">
      <c r="A256" s="441" t="s">
        <v>63</v>
      </c>
      <c r="B256" s="121"/>
      <c r="C256" s="122" t="s">
        <v>366</v>
      </c>
      <c r="D256" s="122" t="s">
        <v>89</v>
      </c>
      <c r="E256" s="442">
        <f>E211+E225</f>
        <v>934139468.364974</v>
      </c>
      <c r="F256" s="442">
        <f>F211+F225</f>
        <v>68254429.0909091</v>
      </c>
      <c r="G256" s="442">
        <f aca="true" t="shared" si="31" ref="G256:O256">G211+G225</f>
        <v>65569754.88000001</v>
      </c>
      <c r="H256" s="442">
        <f t="shared" si="31"/>
        <v>75744988.66001454</v>
      </c>
      <c r="I256" s="442">
        <f t="shared" si="31"/>
        <v>84683709.43311489</v>
      </c>
      <c r="J256" s="442">
        <f t="shared" si="31"/>
        <v>92499842.32184707</v>
      </c>
      <c r="K256" s="442">
        <f t="shared" si="31"/>
        <v>99298661.52213648</v>
      </c>
      <c r="L256" s="442">
        <f t="shared" si="31"/>
        <v>105177419.97938435</v>
      </c>
      <c r="M256" s="442">
        <f t="shared" si="31"/>
        <v>110225936.13839477</v>
      </c>
      <c r="N256" s="442">
        <f t="shared" si="31"/>
        <v>114527140.64542276</v>
      </c>
      <c r="O256" s="440">
        <f t="shared" si="31"/>
        <v>118157585.69375014</v>
      </c>
    </row>
    <row r="257" spans="1:15" ht="30" customHeight="1" thickBot="1">
      <c r="A257" s="547" t="s">
        <v>479</v>
      </c>
      <c r="B257" s="124"/>
      <c r="C257" s="123" t="s">
        <v>367</v>
      </c>
      <c r="D257" s="123" t="s">
        <v>89</v>
      </c>
      <c r="E257" s="548">
        <f>E189+E194+E198+E202</f>
        <v>25364739423.23079</v>
      </c>
      <c r="F257" s="548">
        <f aca="true" t="shared" si="32" ref="F257:O257">F189+F194+F198+F202</f>
        <v>3383733023.5</v>
      </c>
      <c r="G257" s="548">
        <f t="shared" si="32"/>
        <v>2009938020.628</v>
      </c>
      <c r="H257" s="548">
        <f t="shared" si="32"/>
        <v>2106415045.618144</v>
      </c>
      <c r="I257" s="548">
        <f t="shared" si="32"/>
        <v>2207522967.8078146</v>
      </c>
      <c r="J257" s="548">
        <f t="shared" si="32"/>
        <v>2313484070.26259</v>
      </c>
      <c r="K257" s="548">
        <f t="shared" si="32"/>
        <v>2424531305.635195</v>
      </c>
      <c r="L257" s="548">
        <f t="shared" si="32"/>
        <v>2540908808.305684</v>
      </c>
      <c r="M257" s="548">
        <f t="shared" si="32"/>
        <v>2662872431.104357</v>
      </c>
      <c r="N257" s="548">
        <f t="shared" si="32"/>
        <v>2790690307.797366</v>
      </c>
      <c r="O257" s="549">
        <f t="shared" si="32"/>
        <v>2924643442.57164</v>
      </c>
    </row>
    <row r="258" spans="1:15" ht="23.25" customHeight="1" thickBot="1">
      <c r="A258" s="550"/>
      <c r="B258" s="551"/>
      <c r="C258" s="552"/>
      <c r="D258" s="553"/>
      <c r="E258" s="554"/>
      <c r="F258" s="554"/>
      <c r="G258" s="552"/>
      <c r="H258" s="552"/>
      <c r="I258" s="552"/>
      <c r="J258" s="552"/>
      <c r="K258" s="552"/>
      <c r="L258" s="552"/>
      <c r="M258" s="552"/>
      <c r="N258" s="552"/>
      <c r="O258" s="555"/>
    </row>
    <row r="259" spans="1:15" ht="31.5" customHeight="1" thickBot="1">
      <c r="A259" s="297" t="s">
        <v>70</v>
      </c>
      <c r="B259" s="544"/>
      <c r="C259" s="66" t="s">
        <v>368</v>
      </c>
      <c r="D259" s="66" t="s">
        <v>318</v>
      </c>
      <c r="E259" s="299" t="s">
        <v>90</v>
      </c>
      <c r="F259" s="300" t="s">
        <v>73</v>
      </c>
      <c r="G259" s="300" t="s">
        <v>74</v>
      </c>
      <c r="H259" s="300" t="s">
        <v>75</v>
      </c>
      <c r="I259" s="300" t="s">
        <v>76</v>
      </c>
      <c r="J259" s="300" t="s">
        <v>77</v>
      </c>
      <c r="K259" s="300" t="s">
        <v>78</v>
      </c>
      <c r="L259" s="300" t="s">
        <v>79</v>
      </c>
      <c r="M259" s="300" t="s">
        <v>80</v>
      </c>
      <c r="N259" s="300" t="s">
        <v>81</v>
      </c>
      <c r="O259" s="301" t="s">
        <v>82</v>
      </c>
    </row>
    <row r="260" spans="1:15" ht="26.25" customHeight="1" thickBot="1">
      <c r="A260" s="126" t="s">
        <v>72</v>
      </c>
      <c r="B260" s="689" t="s">
        <v>474</v>
      </c>
      <c r="C260" s="689"/>
      <c r="D260" s="444" t="s">
        <v>64</v>
      </c>
      <c r="E260" s="556">
        <v>0</v>
      </c>
      <c r="F260" s="689"/>
      <c r="G260" s="689"/>
      <c r="H260" s="689"/>
      <c r="I260" s="689"/>
      <c r="J260" s="689"/>
      <c r="K260" s="689"/>
      <c r="L260" s="689"/>
      <c r="M260" s="689"/>
      <c r="N260" s="689"/>
      <c r="O260" s="694"/>
    </row>
    <row r="261" spans="1:20" ht="27.75" customHeight="1">
      <c r="A261" s="445" t="s">
        <v>61</v>
      </c>
      <c r="B261" s="671" t="s">
        <v>374</v>
      </c>
      <c r="C261" s="671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8"/>
      <c r="P261" s="125"/>
      <c r="Q261" s="79"/>
      <c r="R261" s="79"/>
      <c r="S261" s="79"/>
      <c r="T261" s="108"/>
    </row>
    <row r="262" spans="1:15" ht="25.5">
      <c r="A262" s="357"/>
      <c r="B262" s="76"/>
      <c r="C262" s="46" t="s">
        <v>291</v>
      </c>
      <c r="D262" s="57" t="s">
        <v>238</v>
      </c>
      <c r="E262" s="446">
        <f>E40</f>
        <v>30</v>
      </c>
      <c r="F262" s="447"/>
      <c r="G262" s="447"/>
      <c r="H262" s="447"/>
      <c r="I262" s="447"/>
      <c r="J262" s="447"/>
      <c r="K262" s="447"/>
      <c r="L262" s="447"/>
      <c r="M262" s="447"/>
      <c r="N262" s="447"/>
      <c r="O262" s="448"/>
    </row>
    <row r="263" spans="1:15" ht="25.5">
      <c r="A263" s="357"/>
      <c r="B263" s="76"/>
      <c r="C263" s="46" t="s">
        <v>369</v>
      </c>
      <c r="D263" s="57" t="s">
        <v>238</v>
      </c>
      <c r="E263" s="446">
        <f>E41</f>
        <v>24528</v>
      </c>
      <c r="F263" s="447"/>
      <c r="G263" s="447"/>
      <c r="H263" s="447"/>
      <c r="I263" s="447"/>
      <c r="J263" s="447"/>
      <c r="K263" s="447"/>
      <c r="L263" s="447"/>
      <c r="M263" s="447"/>
      <c r="N263" s="447"/>
      <c r="O263" s="448"/>
    </row>
    <row r="264" spans="1:16" ht="30" customHeight="1" thickBot="1">
      <c r="A264" s="357"/>
      <c r="B264" s="76"/>
      <c r="C264" s="46" t="s">
        <v>370</v>
      </c>
      <c r="D264" s="57" t="s">
        <v>65</v>
      </c>
      <c r="E264" s="449">
        <v>0.1</v>
      </c>
      <c r="F264" s="450"/>
      <c r="G264" s="447"/>
      <c r="H264" s="447"/>
      <c r="I264" s="447"/>
      <c r="J264" s="447"/>
      <c r="K264" s="447"/>
      <c r="L264" s="447"/>
      <c r="M264" s="447"/>
      <c r="N264" s="447"/>
      <c r="O264" s="448"/>
      <c r="P264" s="377" t="s">
        <v>95</v>
      </c>
    </row>
    <row r="265" spans="1:15" ht="31.5" customHeight="1" thickBot="1" thickTop="1">
      <c r="A265" s="451" t="s">
        <v>61</v>
      </c>
      <c r="B265" s="452"/>
      <c r="C265" s="453" t="s">
        <v>371</v>
      </c>
      <c r="D265" s="452" t="s">
        <v>87</v>
      </c>
      <c r="E265" s="454">
        <f aca="true" t="shared" si="33" ref="E265:O265">E290*(1-$E$264)</f>
        <v>52731851261.06424</v>
      </c>
      <c r="F265" s="454">
        <f t="shared" si="33"/>
        <v>4231718208.6545467</v>
      </c>
      <c r="G265" s="454">
        <f t="shared" si="33"/>
        <v>4434840682.669965</v>
      </c>
      <c r="H265" s="454">
        <f t="shared" si="33"/>
        <v>4647713035.438123</v>
      </c>
      <c r="I265" s="454">
        <f t="shared" si="33"/>
        <v>4870803261.139153</v>
      </c>
      <c r="J265" s="454">
        <f t="shared" si="33"/>
        <v>5104601817.673832</v>
      </c>
      <c r="K265" s="454">
        <f t="shared" si="33"/>
        <v>5349622704.922176</v>
      </c>
      <c r="L265" s="454">
        <f t="shared" si="33"/>
        <v>5606404594.758441</v>
      </c>
      <c r="M265" s="454">
        <f t="shared" si="33"/>
        <v>5875512015.306848</v>
      </c>
      <c r="N265" s="454">
        <f t="shared" si="33"/>
        <v>6157536592.041575</v>
      </c>
      <c r="O265" s="455">
        <f t="shared" si="33"/>
        <v>6453098348.459572</v>
      </c>
    </row>
    <row r="266" spans="1:15" ht="31.5" customHeight="1">
      <c r="A266" s="456" t="s">
        <v>61</v>
      </c>
      <c r="B266" s="457"/>
      <c r="C266" s="458" t="s">
        <v>372</v>
      </c>
      <c r="D266" s="457" t="s">
        <v>87</v>
      </c>
      <c r="E266" s="459">
        <f>E291*(1-$E$264)</f>
        <v>3008426227.7063394</v>
      </c>
      <c r="F266" s="459">
        <f aca="true" t="shared" si="34" ref="F266:O266">F272*(1-$E$264)</f>
        <v>241425471.37500003</v>
      </c>
      <c r="G266" s="459">
        <f t="shared" si="34"/>
        <v>253013894.00100005</v>
      </c>
      <c r="H266" s="459">
        <f t="shared" si="34"/>
        <v>265158560.9130481</v>
      </c>
      <c r="I266" s="459">
        <f t="shared" si="34"/>
        <v>277886171.8368744</v>
      </c>
      <c r="J266" s="459">
        <f t="shared" si="34"/>
        <v>291224708.0850444</v>
      </c>
      <c r="K266" s="459">
        <f t="shared" si="34"/>
        <v>305203494.0731265</v>
      </c>
      <c r="L266" s="459">
        <f t="shared" si="34"/>
        <v>319853261.7886366</v>
      </c>
      <c r="M266" s="459">
        <f t="shared" si="34"/>
        <v>335206218.3544912</v>
      </c>
      <c r="N266" s="459">
        <f t="shared" si="34"/>
        <v>351296116.8355068</v>
      </c>
      <c r="O266" s="460">
        <f t="shared" si="34"/>
        <v>368158330.44361115</v>
      </c>
    </row>
    <row r="267" spans="1:15" ht="36" customHeight="1" thickBot="1">
      <c r="A267" s="461" t="s">
        <v>61</v>
      </c>
      <c r="B267" s="462"/>
      <c r="C267" s="463" t="s">
        <v>373</v>
      </c>
      <c r="D267" s="462" t="s">
        <v>87</v>
      </c>
      <c r="E267" s="464">
        <f>E292*(1-$E$264)</f>
        <v>49723425033.3579</v>
      </c>
      <c r="F267" s="464">
        <f aca="true" t="shared" si="35" ref="F267:O267">F278*(1-$E$264)</f>
        <v>3990292737.2795467</v>
      </c>
      <c r="G267" s="464">
        <f t="shared" si="35"/>
        <v>4181826788.668965</v>
      </c>
      <c r="H267" s="464">
        <f t="shared" si="35"/>
        <v>4382554474.525075</v>
      </c>
      <c r="I267" s="464">
        <f t="shared" si="35"/>
        <v>4592917089.3022785</v>
      </c>
      <c r="J267" s="464">
        <f t="shared" si="35"/>
        <v>4813377109.588788</v>
      </c>
      <c r="K267" s="464">
        <f t="shared" si="35"/>
        <v>5044419210.84905</v>
      </c>
      <c r="L267" s="464">
        <f t="shared" si="35"/>
        <v>5286551332.969805</v>
      </c>
      <c r="M267" s="464">
        <f t="shared" si="35"/>
        <v>5540305796.952355</v>
      </c>
      <c r="N267" s="464">
        <f t="shared" si="35"/>
        <v>5806240475.206069</v>
      </c>
      <c r="O267" s="465">
        <f t="shared" si="35"/>
        <v>6084940018.015961</v>
      </c>
    </row>
    <row r="268" spans="1:15" ht="28.5" customHeight="1">
      <c r="A268" s="135" t="s">
        <v>62</v>
      </c>
      <c r="B268" s="673" t="s">
        <v>374</v>
      </c>
      <c r="C268" s="673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2"/>
    </row>
    <row r="269" spans="1:15" ht="25.5">
      <c r="A269" s="308"/>
      <c r="B269" s="76"/>
      <c r="C269" s="46" t="s">
        <v>291</v>
      </c>
      <c r="D269" s="57" t="s">
        <v>238</v>
      </c>
      <c r="E269" s="446">
        <f>E113</f>
        <v>34</v>
      </c>
      <c r="F269" s="447"/>
      <c r="G269" s="447"/>
      <c r="H269" s="447"/>
      <c r="I269" s="447"/>
      <c r="J269" s="447"/>
      <c r="K269" s="447"/>
      <c r="L269" s="447"/>
      <c r="M269" s="447"/>
      <c r="N269" s="447"/>
      <c r="O269" s="448"/>
    </row>
    <row r="270" spans="1:15" ht="25.5">
      <c r="A270" s="308"/>
      <c r="B270" s="76"/>
      <c r="C270" s="46" t="s">
        <v>375</v>
      </c>
      <c r="D270" s="57" t="s">
        <v>238</v>
      </c>
      <c r="E270" s="446">
        <f>E114</f>
        <v>25956</v>
      </c>
      <c r="F270" s="447"/>
      <c r="G270" s="447"/>
      <c r="H270" s="447"/>
      <c r="I270" s="447"/>
      <c r="J270" s="447"/>
      <c r="K270" s="447"/>
      <c r="L270" s="447"/>
      <c r="M270" s="447"/>
      <c r="N270" s="447"/>
      <c r="O270" s="448"/>
    </row>
    <row r="271" spans="1:15" ht="29.25" customHeight="1">
      <c r="A271" s="308" t="s">
        <v>62</v>
      </c>
      <c r="B271" s="693" t="s">
        <v>376</v>
      </c>
      <c r="C271" s="693"/>
      <c r="D271" s="312" t="s">
        <v>87</v>
      </c>
      <c r="E271" s="466">
        <f>E272+E278</f>
        <v>58590945845.62693</v>
      </c>
      <c r="F271" s="466">
        <f aca="true" t="shared" si="36" ref="F271:O271">F272+F278</f>
        <v>4701909120.727274</v>
      </c>
      <c r="G271" s="466">
        <f t="shared" si="36"/>
        <v>4927600758.522183</v>
      </c>
      <c r="H271" s="466">
        <f t="shared" si="36"/>
        <v>5164125594.931248</v>
      </c>
      <c r="I271" s="466">
        <f t="shared" si="36"/>
        <v>5412003623.487947</v>
      </c>
      <c r="J271" s="466">
        <f t="shared" si="36"/>
        <v>5671779797.415369</v>
      </c>
      <c r="K271" s="466">
        <f t="shared" si="36"/>
        <v>5944025227.691307</v>
      </c>
      <c r="L271" s="466">
        <f t="shared" si="36"/>
        <v>6229338438.62049</v>
      </c>
      <c r="M271" s="466">
        <f t="shared" si="36"/>
        <v>6528346683.674274</v>
      </c>
      <c r="N271" s="466">
        <f t="shared" si="36"/>
        <v>6841707324.49064</v>
      </c>
      <c r="O271" s="467">
        <f t="shared" si="36"/>
        <v>7170109276.066191</v>
      </c>
    </row>
    <row r="272" spans="1:15" ht="27.75" customHeight="1">
      <c r="A272" s="308" t="s">
        <v>62</v>
      </c>
      <c r="B272" s="674" t="s">
        <v>377</v>
      </c>
      <c r="C272" s="674"/>
      <c r="D272" s="323" t="s">
        <v>87</v>
      </c>
      <c r="E272" s="468">
        <f>SUM(F272:O272)</f>
        <v>3342695808.562599</v>
      </c>
      <c r="F272" s="321">
        <f>E273*E274*E275*E276*E277/1000</f>
        <v>268250523.75000003</v>
      </c>
      <c r="G272" s="327">
        <f>F272*(1+'Dữ liệu theo hoạt động'!$E$60)</f>
        <v>281126548.89000005</v>
      </c>
      <c r="H272" s="327">
        <f>G272*(1+'Dữ liệu theo hoạt động'!$E$60)</f>
        <v>294620623.2367201</v>
      </c>
      <c r="I272" s="327">
        <f>H272*(1+'Dữ liệu theo hoạt động'!$E$60)</f>
        <v>308762413.1520827</v>
      </c>
      <c r="J272" s="327">
        <f>I272*(1+'Dữ liệu theo hoạt động'!$E$60)</f>
        <v>323583008.98338264</v>
      </c>
      <c r="K272" s="327">
        <f>J272*(1+'Dữ liệu theo hoạt động'!$E$60)</f>
        <v>339114993.414585</v>
      </c>
      <c r="L272" s="327">
        <f>K272*(1+'Dữ liệu theo hoạt động'!$E$60)</f>
        <v>355392513.0984851</v>
      </c>
      <c r="M272" s="327">
        <f>L272*(1+'Dữ liệu theo hoạt động'!$E$60)</f>
        <v>372451353.7272124</v>
      </c>
      <c r="N272" s="327">
        <f>M272*(1+'Dữ liệu theo hoạt động'!$E$60)</f>
        <v>390329018.70611864</v>
      </c>
      <c r="O272" s="469">
        <f>N272*(1+'Dữ liệu theo hoạt động'!$E$60)</f>
        <v>409064811.60401237</v>
      </c>
    </row>
    <row r="273" spans="1:15" ht="25.5">
      <c r="A273" s="308"/>
      <c r="B273" s="506"/>
      <c r="C273" s="47" t="s">
        <v>245</v>
      </c>
      <c r="D273" s="58" t="s">
        <v>180</v>
      </c>
      <c r="E273" s="531">
        <f>'Dữ liệu theo hoạt động'!$E$63</f>
        <v>48</v>
      </c>
      <c r="F273" s="321"/>
      <c r="G273" s="327"/>
      <c r="H273" s="322"/>
      <c r="I273" s="322"/>
      <c r="J273" s="322"/>
      <c r="K273" s="322"/>
      <c r="L273" s="322"/>
      <c r="M273" s="322"/>
      <c r="N273" s="322"/>
      <c r="O273" s="60"/>
    </row>
    <row r="274" spans="1:15" ht="26.25">
      <c r="A274" s="308"/>
      <c r="B274" s="506"/>
      <c r="C274" s="47" t="s">
        <v>483</v>
      </c>
      <c r="D274" s="58" t="s">
        <v>169</v>
      </c>
      <c r="E274" s="167">
        <v>2073434</v>
      </c>
      <c r="F274" s="663"/>
      <c r="G274" s="664"/>
      <c r="H274" s="322"/>
      <c r="I274" s="322"/>
      <c r="J274" s="322"/>
      <c r="K274" s="322"/>
      <c r="L274" s="322"/>
      <c r="M274" s="322"/>
      <c r="N274" s="322"/>
      <c r="O274" s="60"/>
    </row>
    <row r="275" spans="1:15" ht="25.5">
      <c r="A275" s="308"/>
      <c r="B275" s="506"/>
      <c r="C275" s="47" t="s">
        <v>378</v>
      </c>
      <c r="D275" s="58" t="s">
        <v>65</v>
      </c>
      <c r="E275" s="536">
        <v>0.5</v>
      </c>
      <c r="F275" s="321"/>
      <c r="G275" s="665"/>
      <c r="H275" s="322"/>
      <c r="I275" s="322"/>
      <c r="J275" s="322"/>
      <c r="K275" s="322"/>
      <c r="L275" s="322"/>
      <c r="M275" s="322"/>
      <c r="N275" s="322"/>
      <c r="O275" s="60"/>
    </row>
    <row r="276" spans="1:15" ht="25.5">
      <c r="A276" s="308"/>
      <c r="B276" s="506"/>
      <c r="C276" s="47" t="s">
        <v>379</v>
      </c>
      <c r="D276" s="323" t="s">
        <v>65</v>
      </c>
      <c r="E276" s="536">
        <v>0.2</v>
      </c>
      <c r="F276" s="321"/>
      <c r="G276" s="327"/>
      <c r="H276" s="322"/>
      <c r="I276" s="322"/>
      <c r="J276" s="322"/>
      <c r="K276" s="322"/>
      <c r="L276" s="322"/>
      <c r="M276" s="322"/>
      <c r="N276" s="322"/>
      <c r="O276" s="60"/>
    </row>
    <row r="277" spans="1:15" ht="25.5">
      <c r="A277" s="308"/>
      <c r="B277" s="506"/>
      <c r="C277" s="47" t="s">
        <v>484</v>
      </c>
      <c r="D277" s="323" t="s">
        <v>64</v>
      </c>
      <c r="E277" s="530">
        <f>'Dữ liệu cơ bản'!$D$2</f>
        <v>26953.125</v>
      </c>
      <c r="F277" s="321"/>
      <c r="G277" s="327"/>
      <c r="H277" s="322"/>
      <c r="I277" s="322"/>
      <c r="J277" s="322"/>
      <c r="K277" s="322"/>
      <c r="L277" s="322"/>
      <c r="M277" s="322"/>
      <c r="N277" s="322"/>
      <c r="O277" s="60"/>
    </row>
    <row r="278" spans="1:15" ht="31.5" customHeight="1">
      <c r="A278" s="308" t="s">
        <v>62</v>
      </c>
      <c r="B278" s="674" t="s">
        <v>443</v>
      </c>
      <c r="C278" s="674"/>
      <c r="D278" s="323" t="s">
        <v>87</v>
      </c>
      <c r="E278" s="537">
        <f>SUM(F278:O278)</f>
        <v>55248250037.06433</v>
      </c>
      <c r="F278" s="612">
        <f>(E279*E280*E281+E282*E283*E284)*E285/1000+E286*E287*E288*E289/1000</f>
        <v>4433658596.977274</v>
      </c>
      <c r="G278" s="327">
        <f>F278*(1+'Dữ liệu theo hoạt động'!$E$60)</f>
        <v>4646474209.632183</v>
      </c>
      <c r="H278" s="327">
        <f>G278*(1+'Dữ liệu theo hoạt động'!$E$60)</f>
        <v>4869504971.694528</v>
      </c>
      <c r="I278" s="327">
        <f>H278*(1+'Dữ liệu theo hoạt động'!$E$60)</f>
        <v>5103241210.335865</v>
      </c>
      <c r="J278" s="327">
        <f>I278*(1+'Dữ liệu theo hoạt động'!$E$60)</f>
        <v>5348196788.431987</v>
      </c>
      <c r="K278" s="327">
        <f>J278*(1+'Dữ liệu theo hoạt động'!$E$60)</f>
        <v>5604910234.276722</v>
      </c>
      <c r="L278" s="327">
        <f>K278*(1+'Dữ liệu theo hoạt động'!$E$60)</f>
        <v>5873945925.522005</v>
      </c>
      <c r="M278" s="327">
        <f>L278*(1+'Dữ liệu theo hoạt động'!$E$60)</f>
        <v>6155895329.947062</v>
      </c>
      <c r="N278" s="327">
        <f>M278*(1+'Dữ liệu theo hoạt động'!$E$60)</f>
        <v>6451378305.784521</v>
      </c>
      <c r="O278" s="469">
        <f>N278*(1+'Dữ liệu theo hoạt động'!$E$60)</f>
        <v>6761044464.462178</v>
      </c>
    </row>
    <row r="279" spans="1:15" ht="25.5">
      <c r="A279" s="308"/>
      <c r="B279" s="498"/>
      <c r="C279" s="47" t="s">
        <v>247</v>
      </c>
      <c r="D279" s="58" t="s">
        <v>390</v>
      </c>
      <c r="E279" s="530">
        <f>'Dữ liệu theo hoạt động'!$E$67</f>
        <v>6404</v>
      </c>
      <c r="F279" s="321"/>
      <c r="G279" s="322"/>
      <c r="H279" s="322"/>
      <c r="I279" s="322"/>
      <c r="J279" s="322"/>
      <c r="K279" s="322"/>
      <c r="L279" s="322"/>
      <c r="M279" s="322"/>
      <c r="N279" s="322"/>
      <c r="O279" s="60"/>
    </row>
    <row r="280" spans="1:15" ht="25.5">
      <c r="A280" s="308"/>
      <c r="B280" s="498"/>
      <c r="C280" s="47" t="s">
        <v>380</v>
      </c>
      <c r="D280" s="58" t="s">
        <v>180</v>
      </c>
      <c r="E280" s="530">
        <f>'Dữ liệu theo hoạt động'!$E$68</f>
        <v>1200</v>
      </c>
      <c r="F280" s="321"/>
      <c r="G280" s="322"/>
      <c r="H280" s="322"/>
      <c r="I280" s="322"/>
      <c r="J280" s="322"/>
      <c r="K280" s="322"/>
      <c r="L280" s="322"/>
      <c r="M280" s="322"/>
      <c r="N280" s="322"/>
      <c r="O280" s="60"/>
    </row>
    <row r="281" spans="1:15" ht="25.5">
      <c r="A281" s="308"/>
      <c r="B281" s="498"/>
      <c r="C281" s="47" t="s">
        <v>179</v>
      </c>
      <c r="D281" s="323" t="s">
        <v>65</v>
      </c>
      <c r="E281" s="331">
        <f>'Dữ liệu theo hoạt động'!$E$69</f>
        <v>0.4</v>
      </c>
      <c r="F281" s="321"/>
      <c r="G281" s="322"/>
      <c r="H281" s="322"/>
      <c r="I281" s="322"/>
      <c r="J281" s="322"/>
      <c r="K281" s="322"/>
      <c r="L281" s="322"/>
      <c r="M281" s="322"/>
      <c r="N281" s="322"/>
      <c r="O281" s="60"/>
    </row>
    <row r="282" spans="1:15" ht="25.5">
      <c r="A282" s="308"/>
      <c r="B282" s="506"/>
      <c r="C282" s="47" t="s">
        <v>250</v>
      </c>
      <c r="D282" s="58" t="s">
        <v>390</v>
      </c>
      <c r="E282" s="530">
        <f>'Dữ liệu theo hoạt động'!$E$70</f>
        <v>340373</v>
      </c>
      <c r="F282" s="321"/>
      <c r="G282" s="322"/>
      <c r="H282" s="322"/>
      <c r="I282" s="322"/>
      <c r="J282" s="322"/>
      <c r="K282" s="322"/>
      <c r="L282" s="322"/>
      <c r="M282" s="322"/>
      <c r="N282" s="322"/>
      <c r="O282" s="60"/>
    </row>
    <row r="283" spans="1:15" ht="28.5" customHeight="1">
      <c r="A283" s="308"/>
      <c r="B283" s="506"/>
      <c r="C283" s="47" t="s">
        <v>381</v>
      </c>
      <c r="D283" s="58" t="s">
        <v>180</v>
      </c>
      <c r="E283" s="531">
        <f>'Dữ liệu theo hoạt động'!$E$71</f>
        <v>240</v>
      </c>
      <c r="F283" s="321"/>
      <c r="G283" s="322"/>
      <c r="H283" s="322"/>
      <c r="I283" s="322"/>
      <c r="J283" s="322"/>
      <c r="K283" s="322"/>
      <c r="L283" s="322"/>
      <c r="M283" s="322"/>
      <c r="N283" s="322"/>
      <c r="O283" s="60"/>
    </row>
    <row r="284" spans="1:15" ht="25.5">
      <c r="A284" s="308"/>
      <c r="B284" s="506"/>
      <c r="C284" s="47" t="s">
        <v>179</v>
      </c>
      <c r="D284" s="323" t="s">
        <v>65</v>
      </c>
      <c r="E284" s="538">
        <v>0.5</v>
      </c>
      <c r="F284" s="321"/>
      <c r="G284" s="322"/>
      <c r="H284" s="322"/>
      <c r="I284" s="322"/>
      <c r="J284" s="322"/>
      <c r="K284" s="322"/>
      <c r="L284" s="322"/>
      <c r="M284" s="322"/>
      <c r="N284" s="322"/>
      <c r="O284" s="60"/>
    </row>
    <row r="285" spans="1:15" ht="25.5">
      <c r="A285" s="339"/>
      <c r="B285" s="470"/>
      <c r="C285" s="130" t="s">
        <v>382</v>
      </c>
      <c r="D285" s="471" t="s">
        <v>64</v>
      </c>
      <c r="E285" s="472">
        <f>'Dữ liệu cơ bản'!$D$5</f>
        <v>39772.72727272727</v>
      </c>
      <c r="F285" s="472"/>
      <c r="G285" s="473"/>
      <c r="H285" s="473"/>
      <c r="I285" s="473"/>
      <c r="J285" s="473"/>
      <c r="K285" s="473"/>
      <c r="L285" s="473"/>
      <c r="M285" s="473"/>
      <c r="N285" s="473"/>
      <c r="O285" s="474"/>
    </row>
    <row r="286" spans="1:15" ht="24" customHeight="1">
      <c r="A286" s="604"/>
      <c r="B286" s="551"/>
      <c r="C286" s="605" t="s">
        <v>452</v>
      </c>
      <c r="D286" s="553" t="s">
        <v>65</v>
      </c>
      <c r="E286" s="611">
        <v>0.1</v>
      </c>
      <c r="F286" s="554"/>
      <c r="G286" s="552"/>
      <c r="H286" s="552"/>
      <c r="I286" s="552"/>
      <c r="J286" s="552"/>
      <c r="K286" s="552"/>
      <c r="L286" s="552"/>
      <c r="M286" s="552"/>
      <c r="N286" s="552"/>
      <c r="O286" s="555"/>
    </row>
    <row r="287" spans="1:15" ht="24" customHeight="1">
      <c r="A287" s="604"/>
      <c r="B287" s="551"/>
      <c r="C287" s="605" t="s">
        <v>451</v>
      </c>
      <c r="D287" s="553" t="s">
        <v>121</v>
      </c>
      <c r="E287" s="554">
        <f>'Dữ liệu cơ bản'!D41</f>
        <v>67556164.724</v>
      </c>
      <c r="F287" s="554"/>
      <c r="G287" s="552"/>
      <c r="H287" s="552"/>
      <c r="I287" s="552"/>
      <c r="J287" s="552"/>
      <c r="K287" s="552"/>
      <c r="L287" s="552"/>
      <c r="M287" s="552"/>
      <c r="N287" s="552"/>
      <c r="O287" s="555"/>
    </row>
    <row r="288" spans="1:15" ht="24" customHeight="1">
      <c r="A288" s="604"/>
      <c r="B288" s="551"/>
      <c r="C288" s="605" t="s">
        <v>453</v>
      </c>
      <c r="D288" s="553" t="s">
        <v>454</v>
      </c>
      <c r="E288" s="554">
        <v>10</v>
      </c>
      <c r="F288" s="554"/>
      <c r="G288" s="552"/>
      <c r="H288" s="552"/>
      <c r="I288" s="552"/>
      <c r="J288" s="552"/>
      <c r="K288" s="552"/>
      <c r="L288" s="552"/>
      <c r="M288" s="552"/>
      <c r="N288" s="552"/>
      <c r="O288" s="555"/>
    </row>
    <row r="289" spans="1:15" ht="44.25" customHeight="1" thickBot="1">
      <c r="A289" s="604"/>
      <c r="B289" s="551"/>
      <c r="C289" s="235" t="s">
        <v>329</v>
      </c>
      <c r="D289" s="263" t="s">
        <v>64</v>
      </c>
      <c r="E289" s="233">
        <f>7000000/22/8</f>
        <v>39772.72727272727</v>
      </c>
      <c r="F289" s="554"/>
      <c r="G289" s="552"/>
      <c r="H289" s="552"/>
      <c r="I289" s="552"/>
      <c r="J289" s="552"/>
      <c r="K289" s="552"/>
      <c r="L289" s="552"/>
      <c r="M289" s="552"/>
      <c r="N289" s="552"/>
      <c r="O289" s="555"/>
    </row>
    <row r="290" spans="1:15" ht="29.25" customHeight="1" thickBot="1" thickTop="1">
      <c r="A290" s="475" t="s">
        <v>62</v>
      </c>
      <c r="B290" s="476"/>
      <c r="C290" s="477" t="s">
        <v>383</v>
      </c>
      <c r="D290" s="476" t="s">
        <v>87</v>
      </c>
      <c r="E290" s="478">
        <f aca="true" t="shared" si="37" ref="E290:O290">E271</f>
        <v>58590945845.62693</v>
      </c>
      <c r="F290" s="478">
        <f t="shared" si="37"/>
        <v>4701909120.727274</v>
      </c>
      <c r="G290" s="478">
        <f t="shared" si="37"/>
        <v>4927600758.522183</v>
      </c>
      <c r="H290" s="478">
        <f t="shared" si="37"/>
        <v>5164125594.931248</v>
      </c>
      <c r="I290" s="478">
        <f t="shared" si="37"/>
        <v>5412003623.487947</v>
      </c>
      <c r="J290" s="478">
        <f t="shared" si="37"/>
        <v>5671779797.415369</v>
      </c>
      <c r="K290" s="478">
        <f t="shared" si="37"/>
        <v>5944025227.691307</v>
      </c>
      <c r="L290" s="478">
        <f t="shared" si="37"/>
        <v>6229338438.62049</v>
      </c>
      <c r="M290" s="478">
        <f t="shared" si="37"/>
        <v>6528346683.674274</v>
      </c>
      <c r="N290" s="478">
        <f t="shared" si="37"/>
        <v>6841707324.49064</v>
      </c>
      <c r="O290" s="479">
        <f t="shared" si="37"/>
        <v>7170109276.066191</v>
      </c>
    </row>
    <row r="291" spans="1:68" s="395" customFormat="1" ht="29.25" customHeight="1">
      <c r="A291" s="480" t="s">
        <v>62</v>
      </c>
      <c r="B291" s="481"/>
      <c r="C291" s="482" t="s">
        <v>384</v>
      </c>
      <c r="D291" s="481" t="s">
        <v>87</v>
      </c>
      <c r="E291" s="483">
        <f aca="true" t="shared" si="38" ref="E291:O291">E272</f>
        <v>3342695808.562599</v>
      </c>
      <c r="F291" s="483">
        <f t="shared" si="38"/>
        <v>268250523.75000003</v>
      </c>
      <c r="G291" s="483">
        <f t="shared" si="38"/>
        <v>281126548.89000005</v>
      </c>
      <c r="H291" s="483">
        <f t="shared" si="38"/>
        <v>294620623.2367201</v>
      </c>
      <c r="I291" s="483">
        <f t="shared" si="38"/>
        <v>308762413.1520827</v>
      </c>
      <c r="J291" s="483">
        <f t="shared" si="38"/>
        <v>323583008.98338264</v>
      </c>
      <c r="K291" s="483">
        <f t="shared" si="38"/>
        <v>339114993.414585</v>
      </c>
      <c r="L291" s="483">
        <f t="shared" si="38"/>
        <v>355392513.0984851</v>
      </c>
      <c r="M291" s="483">
        <f t="shared" si="38"/>
        <v>372451353.7272124</v>
      </c>
      <c r="N291" s="483">
        <f t="shared" si="38"/>
        <v>390329018.70611864</v>
      </c>
      <c r="O291" s="484">
        <f t="shared" si="38"/>
        <v>409064811.60401237</v>
      </c>
      <c r="P291" s="394"/>
      <c r="Q291" s="394"/>
      <c r="R291" s="394"/>
      <c r="S291" s="394"/>
      <c r="T291" s="394"/>
      <c r="U291" s="394"/>
      <c r="V291" s="394"/>
      <c r="W291" s="394"/>
      <c r="X291" s="394"/>
      <c r="Y291" s="394"/>
      <c r="Z291" s="394"/>
      <c r="AA291" s="394"/>
      <c r="AB291" s="394"/>
      <c r="AC291" s="394"/>
      <c r="AD291" s="394"/>
      <c r="AE291" s="394"/>
      <c r="AF291" s="394"/>
      <c r="AG291" s="394"/>
      <c r="AH291" s="394"/>
      <c r="AI291" s="394"/>
      <c r="AJ291" s="394"/>
      <c r="AK291" s="394"/>
      <c r="AL291" s="394"/>
      <c r="AM291" s="394"/>
      <c r="AN291" s="394"/>
      <c r="AO291" s="394"/>
      <c r="AP291" s="394"/>
      <c r="AQ291" s="394"/>
      <c r="AR291" s="394"/>
      <c r="AS291" s="394"/>
      <c r="AT291" s="394"/>
      <c r="AU291" s="394"/>
      <c r="AV291" s="394"/>
      <c r="AW291" s="394"/>
      <c r="AX291" s="394"/>
      <c r="AY291" s="394"/>
      <c r="AZ291" s="394"/>
      <c r="BA291" s="394"/>
      <c r="BB291" s="394"/>
      <c r="BC291" s="394"/>
      <c r="BD291" s="394"/>
      <c r="BE291" s="394"/>
      <c r="BF291" s="394"/>
      <c r="BG291" s="394"/>
      <c r="BH291" s="394"/>
      <c r="BI291" s="394"/>
      <c r="BJ291" s="394"/>
      <c r="BK291" s="394"/>
      <c r="BL291" s="394"/>
      <c r="BM291" s="394"/>
      <c r="BN291" s="394"/>
      <c r="BO291" s="394"/>
      <c r="BP291" s="394"/>
    </row>
    <row r="292" spans="1:68" s="395" customFormat="1" ht="29.25" customHeight="1" thickBot="1">
      <c r="A292" s="480" t="s">
        <v>62</v>
      </c>
      <c r="B292" s="481"/>
      <c r="C292" s="482" t="s">
        <v>384</v>
      </c>
      <c r="D292" s="481" t="s">
        <v>87</v>
      </c>
      <c r="E292" s="483">
        <f aca="true" t="shared" si="39" ref="E292:O292">E278</f>
        <v>55248250037.06433</v>
      </c>
      <c r="F292" s="483">
        <f t="shared" si="39"/>
        <v>4433658596.977274</v>
      </c>
      <c r="G292" s="483">
        <f t="shared" si="39"/>
        <v>4646474209.632183</v>
      </c>
      <c r="H292" s="483">
        <f t="shared" si="39"/>
        <v>4869504971.694528</v>
      </c>
      <c r="I292" s="483">
        <f t="shared" si="39"/>
        <v>5103241210.335865</v>
      </c>
      <c r="J292" s="483">
        <f t="shared" si="39"/>
        <v>5348196788.431987</v>
      </c>
      <c r="K292" s="483">
        <f t="shared" si="39"/>
        <v>5604910234.276722</v>
      </c>
      <c r="L292" s="483">
        <f t="shared" si="39"/>
        <v>5873945925.522005</v>
      </c>
      <c r="M292" s="483">
        <f t="shared" si="39"/>
        <v>6155895329.947062</v>
      </c>
      <c r="N292" s="483">
        <f t="shared" si="39"/>
        <v>6451378305.784521</v>
      </c>
      <c r="O292" s="485">
        <f t="shared" si="39"/>
        <v>6761044464.462178</v>
      </c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  <c r="Z292" s="394"/>
      <c r="AA292" s="394"/>
      <c r="AB292" s="394"/>
      <c r="AC292" s="394"/>
      <c r="AD292" s="394"/>
      <c r="AE292" s="394"/>
      <c r="AF292" s="394"/>
      <c r="AG292" s="394"/>
      <c r="AH292" s="394"/>
      <c r="AI292" s="394"/>
      <c r="AJ292" s="394"/>
      <c r="AK292" s="394"/>
      <c r="AL292" s="394"/>
      <c r="AM292" s="394"/>
      <c r="AN292" s="394"/>
      <c r="AO292" s="394"/>
      <c r="AP292" s="394"/>
      <c r="AQ292" s="394"/>
      <c r="AR292" s="394"/>
      <c r="AS292" s="394"/>
      <c r="AT292" s="394"/>
      <c r="AU292" s="394"/>
      <c r="AV292" s="394"/>
      <c r="AW292" s="394"/>
      <c r="AX292" s="394"/>
      <c r="AY292" s="394"/>
      <c r="AZ292" s="394"/>
      <c r="BA292" s="394"/>
      <c r="BB292" s="394"/>
      <c r="BC292" s="394"/>
      <c r="BD292" s="394"/>
      <c r="BE292" s="394"/>
      <c r="BF292" s="394"/>
      <c r="BG292" s="394"/>
      <c r="BH292" s="394"/>
      <c r="BI292" s="394"/>
      <c r="BJ292" s="394"/>
      <c r="BK292" s="394"/>
      <c r="BL292" s="394"/>
      <c r="BM292" s="394"/>
      <c r="BN292" s="394"/>
      <c r="BO292" s="394"/>
      <c r="BP292" s="394"/>
    </row>
    <row r="293" spans="1:15" ht="31.5" customHeight="1">
      <c r="A293" s="486" t="s">
        <v>63</v>
      </c>
      <c r="B293" s="670" t="s">
        <v>374</v>
      </c>
      <c r="C293" s="670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70"/>
    </row>
    <row r="294" spans="1:15" ht="25.5">
      <c r="A294" s="487"/>
      <c r="B294" s="174"/>
      <c r="C294" s="175" t="s">
        <v>291</v>
      </c>
      <c r="D294" s="176" t="s">
        <v>238</v>
      </c>
      <c r="E294" s="332">
        <f>'Dữ liệu cơ bản'!J7</f>
        <v>34</v>
      </c>
      <c r="F294" s="488"/>
      <c r="G294" s="488"/>
      <c r="H294" s="488"/>
      <c r="I294" s="488"/>
      <c r="J294" s="488"/>
      <c r="K294" s="488"/>
      <c r="L294" s="488"/>
      <c r="M294" s="488"/>
      <c r="N294" s="488"/>
      <c r="O294" s="489"/>
    </row>
    <row r="295" spans="1:15" ht="25.5">
      <c r="A295" s="487"/>
      <c r="B295" s="174"/>
      <c r="C295" s="175" t="s">
        <v>345</v>
      </c>
      <c r="D295" s="176" t="s">
        <v>238</v>
      </c>
      <c r="E295" s="332">
        <f>'Dữ liệu cơ bản'!J6</f>
        <v>27676</v>
      </c>
      <c r="F295" s="488"/>
      <c r="G295" s="488"/>
      <c r="H295" s="488"/>
      <c r="I295" s="488"/>
      <c r="J295" s="488"/>
      <c r="K295" s="488"/>
      <c r="L295" s="488"/>
      <c r="M295" s="488"/>
      <c r="N295" s="488"/>
      <c r="O295" s="489"/>
    </row>
    <row r="296" spans="1:16" ht="26.25" thickBot="1">
      <c r="A296" s="487"/>
      <c r="B296" s="174"/>
      <c r="C296" s="175" t="s">
        <v>385</v>
      </c>
      <c r="D296" s="176" t="s">
        <v>65</v>
      </c>
      <c r="E296" s="613">
        <v>0.05</v>
      </c>
      <c r="F296" s="488"/>
      <c r="G296" s="488"/>
      <c r="H296" s="488"/>
      <c r="I296" s="488"/>
      <c r="J296" s="488"/>
      <c r="K296" s="488"/>
      <c r="L296" s="488"/>
      <c r="M296" s="488"/>
      <c r="N296" s="488"/>
      <c r="O296" s="489"/>
      <c r="P296" s="377" t="s">
        <v>96</v>
      </c>
    </row>
    <row r="297" spans="1:15" ht="32.25" customHeight="1" thickTop="1">
      <c r="A297" s="490" t="s">
        <v>63</v>
      </c>
      <c r="B297" s="491"/>
      <c r="C297" s="492" t="s">
        <v>383</v>
      </c>
      <c r="D297" s="491" t="s">
        <v>87</v>
      </c>
      <c r="E297" s="493">
        <f>E290*(1+$E$296)</f>
        <v>61520493137.90828</v>
      </c>
      <c r="F297" s="493">
        <f aca="true" t="shared" si="40" ref="F297:O297">F290*(1+$E$296)</f>
        <v>4937004576.763638</v>
      </c>
      <c r="G297" s="493">
        <f t="shared" si="40"/>
        <v>5173980796.448293</v>
      </c>
      <c r="H297" s="493">
        <f t="shared" si="40"/>
        <v>5422331874.677811</v>
      </c>
      <c r="I297" s="493">
        <f t="shared" si="40"/>
        <v>5682603804.662345</v>
      </c>
      <c r="J297" s="493">
        <f t="shared" si="40"/>
        <v>5955368787.286138</v>
      </c>
      <c r="K297" s="493">
        <f t="shared" si="40"/>
        <v>6241226489.075872</v>
      </c>
      <c r="L297" s="493">
        <f t="shared" si="40"/>
        <v>6540805360.551515</v>
      </c>
      <c r="M297" s="493">
        <f t="shared" si="40"/>
        <v>6854764017.857988</v>
      </c>
      <c r="N297" s="493">
        <f t="shared" si="40"/>
        <v>7183792690.715172</v>
      </c>
      <c r="O297" s="494">
        <f t="shared" si="40"/>
        <v>7528614739.8695</v>
      </c>
    </row>
    <row r="298" spans="1:15" ht="25.5">
      <c r="A298" s="557" t="s">
        <v>63</v>
      </c>
      <c r="B298" s="558"/>
      <c r="C298" s="495" t="s">
        <v>386</v>
      </c>
      <c r="D298" s="559" t="s">
        <v>87</v>
      </c>
      <c r="E298" s="560">
        <f>E272*(1+$E$296)</f>
        <v>3509830598.9907293</v>
      </c>
      <c r="F298" s="560">
        <f aca="true" t="shared" si="41" ref="F298:O298">F272*(1+$E$296)</f>
        <v>281663049.93750006</v>
      </c>
      <c r="G298" s="560">
        <f t="shared" si="41"/>
        <v>295182876.3345001</v>
      </c>
      <c r="H298" s="560">
        <f t="shared" si="41"/>
        <v>309351654.3985561</v>
      </c>
      <c r="I298" s="560">
        <f t="shared" si="41"/>
        <v>324200533.80968684</v>
      </c>
      <c r="J298" s="560">
        <f t="shared" si="41"/>
        <v>339762159.4325518</v>
      </c>
      <c r="K298" s="560">
        <f t="shared" si="41"/>
        <v>356070743.0853143</v>
      </c>
      <c r="L298" s="560">
        <f t="shared" si="41"/>
        <v>373162138.7534094</v>
      </c>
      <c r="M298" s="560">
        <f t="shared" si="41"/>
        <v>391073921.4135731</v>
      </c>
      <c r="N298" s="560">
        <f t="shared" si="41"/>
        <v>409845469.6414246</v>
      </c>
      <c r="O298" s="561">
        <f t="shared" si="41"/>
        <v>429518052.184213</v>
      </c>
    </row>
    <row r="299" spans="1:15" ht="26.25" thickBot="1">
      <c r="A299" s="562" t="s">
        <v>63</v>
      </c>
      <c r="B299" s="563"/>
      <c r="C299" s="496" t="s">
        <v>386</v>
      </c>
      <c r="D299" s="564" t="s">
        <v>87</v>
      </c>
      <c r="E299" s="565">
        <f>E278*(1+$E$296)</f>
        <v>58010662538.91755</v>
      </c>
      <c r="F299" s="565">
        <f aca="true" t="shared" si="42" ref="F299:O299">F278*(1+$E$296)</f>
        <v>4655341526.826138</v>
      </c>
      <c r="G299" s="565">
        <f t="shared" si="42"/>
        <v>4878797920.113792</v>
      </c>
      <c r="H299" s="565">
        <f t="shared" si="42"/>
        <v>5112980220.279254</v>
      </c>
      <c r="I299" s="565">
        <f t="shared" si="42"/>
        <v>5358403270.852658</v>
      </c>
      <c r="J299" s="565">
        <f t="shared" si="42"/>
        <v>5615606627.853586</v>
      </c>
      <c r="K299" s="565">
        <f t="shared" si="42"/>
        <v>5885155745.990559</v>
      </c>
      <c r="L299" s="565">
        <f t="shared" si="42"/>
        <v>6167643221.798105</v>
      </c>
      <c r="M299" s="565">
        <f t="shared" si="42"/>
        <v>6463690096.444415</v>
      </c>
      <c r="N299" s="565">
        <f t="shared" si="42"/>
        <v>6773947221.073748</v>
      </c>
      <c r="O299" s="566">
        <f t="shared" si="42"/>
        <v>7099096687.685287</v>
      </c>
    </row>
  </sheetData>
  <sheetProtection/>
  <mergeCells count="58">
    <mergeCell ref="B293:C293"/>
    <mergeCell ref="B261:C261"/>
    <mergeCell ref="B194:C194"/>
    <mergeCell ref="B181:C181"/>
    <mergeCell ref="B239:C239"/>
    <mergeCell ref="B268:C268"/>
    <mergeCell ref="B271:C271"/>
    <mergeCell ref="B272:C272"/>
    <mergeCell ref="B278:C278"/>
    <mergeCell ref="B34:C34"/>
    <mergeCell ref="B108:C108"/>
    <mergeCell ref="B77:C77"/>
    <mergeCell ref="B85:C85"/>
    <mergeCell ref="B93:C93"/>
    <mergeCell ref="B52:C52"/>
    <mergeCell ref="B72:C72"/>
    <mergeCell ref="B48:C48"/>
    <mergeCell ref="B145:C145"/>
    <mergeCell ref="B218:C218"/>
    <mergeCell ref="B198:C198"/>
    <mergeCell ref="B185:C185"/>
    <mergeCell ref="B189:C189"/>
    <mergeCell ref="B202:C202"/>
    <mergeCell ref="B149:C149"/>
    <mergeCell ref="B33:C33"/>
    <mergeCell ref="B25:C25"/>
    <mergeCell ref="B12:C12"/>
    <mergeCell ref="B254:C254"/>
    <mergeCell ref="B158:C158"/>
    <mergeCell ref="B166:C166"/>
    <mergeCell ref="B150:C150"/>
    <mergeCell ref="B222:C222"/>
    <mergeCell ref="B223:C223"/>
    <mergeCell ref="B231:C231"/>
    <mergeCell ref="N260:O260"/>
    <mergeCell ref="B2:C2"/>
    <mergeCell ref="B260:C260"/>
    <mergeCell ref="F260:G260"/>
    <mergeCell ref="B56:C56"/>
    <mergeCell ref="B63:C63"/>
    <mergeCell ref="B76:C76"/>
    <mergeCell ref="B209:C209"/>
    <mergeCell ref="B35:C35"/>
    <mergeCell ref="B39:C39"/>
    <mergeCell ref="B6:C6"/>
    <mergeCell ref="B7:C7"/>
    <mergeCell ref="B8:C8"/>
    <mergeCell ref="B16:C16"/>
    <mergeCell ref="H260:I260"/>
    <mergeCell ref="J260:K260"/>
    <mergeCell ref="L260:M260"/>
    <mergeCell ref="B43:C43"/>
    <mergeCell ref="B112:C112"/>
    <mergeCell ref="B116:C116"/>
    <mergeCell ref="B121:C121"/>
    <mergeCell ref="B125:C125"/>
    <mergeCell ref="B129:C129"/>
    <mergeCell ref="B136:C136"/>
  </mergeCells>
  <printOptions/>
  <pageMargins left="0.25" right="0.25" top="0.47" bottom="0.47" header="0.17" footer="0.17"/>
  <pageSetup horizontalDpi="600" verticalDpi="600" orientation="landscape" paperSize="9" r:id="rId1"/>
  <headerFooter alignWithMargins="0">
    <oddHeader>&amp;C&amp;"Calibri,Bold"&amp;14&amp;K000000PHỤ LỤC 4: BẢNG TÍNH TOÁN CHI PHÍ - LỢI ÍCH CHO VẤN ĐỀ 2</oddHeader>
    <oddFooter>&amp;C&amp;"Calibri,Regular"&amp;K000000Trang &amp;P of &amp;N&amp;R&amp;"Calibri,Regular"&amp;K000000&amp;A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25" zoomScaleNormal="125" zoomScalePageLayoutView="12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0" sqref="C10"/>
    </sheetView>
  </sheetViews>
  <sheetFormatPr defaultColWidth="8.8515625" defaultRowHeight="15"/>
  <cols>
    <col min="1" max="1" width="8.8515625" style="106" customWidth="1"/>
    <col min="2" max="2" width="5.7109375" style="106" customWidth="1"/>
    <col min="3" max="3" width="40.8515625" style="106" bestFit="1" customWidth="1"/>
    <col min="4" max="4" width="10.28125" style="296" customWidth="1"/>
    <col min="5" max="6" width="17.7109375" style="106" bestFit="1" customWidth="1"/>
    <col min="7" max="12" width="15.00390625" style="106" bestFit="1" customWidth="1"/>
    <col min="13" max="15" width="16.421875" style="106" bestFit="1" customWidth="1"/>
    <col min="16" max="25" width="9.00390625" style="106" customWidth="1"/>
    <col min="26" max="16384" width="8.8515625" style="106" customWidth="1"/>
  </cols>
  <sheetData>
    <row r="1" spans="1:15" ht="64.5" thickBot="1">
      <c r="A1" s="297" t="s">
        <v>415</v>
      </c>
      <c r="B1" s="298"/>
      <c r="C1" s="66" t="s">
        <v>422</v>
      </c>
      <c r="D1" s="66" t="s">
        <v>143</v>
      </c>
      <c r="E1" s="299" t="s">
        <v>255</v>
      </c>
      <c r="F1" s="300" t="s">
        <v>256</v>
      </c>
      <c r="G1" s="300" t="s">
        <v>257</v>
      </c>
      <c r="H1" s="300" t="s">
        <v>258</v>
      </c>
      <c r="I1" s="300" t="s">
        <v>259</v>
      </c>
      <c r="J1" s="300" t="s">
        <v>260</v>
      </c>
      <c r="K1" s="300" t="s">
        <v>261</v>
      </c>
      <c r="L1" s="300" t="s">
        <v>262</v>
      </c>
      <c r="M1" s="300" t="s">
        <v>263</v>
      </c>
      <c r="N1" s="300" t="s">
        <v>264</v>
      </c>
      <c r="O1" s="300" t="s">
        <v>265</v>
      </c>
    </row>
    <row r="2" spans="1:15" ht="30" customHeight="1">
      <c r="A2" s="135" t="s">
        <v>91</v>
      </c>
      <c r="B2" s="678" t="s">
        <v>423</v>
      </c>
      <c r="C2" s="679"/>
      <c r="D2" s="136"/>
      <c r="E2" s="303"/>
      <c r="F2" s="304"/>
      <c r="G2" s="304"/>
      <c r="H2" s="304"/>
      <c r="I2" s="304"/>
      <c r="J2" s="304"/>
      <c r="K2" s="304"/>
      <c r="L2" s="304"/>
      <c r="M2" s="304"/>
      <c r="N2" s="304"/>
      <c r="O2" s="305"/>
    </row>
    <row r="3" spans="1:15" ht="27" customHeight="1">
      <c r="A3" s="569"/>
      <c r="B3" s="570"/>
      <c r="C3" s="571" t="s">
        <v>424</v>
      </c>
      <c r="D3" s="572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3"/>
    </row>
    <row r="4" spans="1:15" ht="27" customHeight="1">
      <c r="A4" s="574" t="s">
        <v>91</v>
      </c>
      <c r="B4" s="680" t="s">
        <v>418</v>
      </c>
      <c r="C4" s="680"/>
      <c r="D4" s="516" t="s">
        <v>86</v>
      </c>
      <c r="E4" s="575">
        <v>0</v>
      </c>
      <c r="F4" s="575">
        <v>0</v>
      </c>
      <c r="G4" s="575">
        <v>0</v>
      </c>
      <c r="H4" s="575">
        <v>0</v>
      </c>
      <c r="I4" s="575">
        <v>0</v>
      </c>
      <c r="J4" s="575">
        <v>0</v>
      </c>
      <c r="K4" s="575">
        <v>0</v>
      </c>
      <c r="L4" s="575">
        <v>0</v>
      </c>
      <c r="M4" s="575">
        <v>0</v>
      </c>
      <c r="N4" s="575">
        <v>0</v>
      </c>
      <c r="O4" s="576">
        <v>0</v>
      </c>
    </row>
    <row r="5" ht="13.5" thickBot="1"/>
    <row r="6" spans="1:15" ht="30.75" customHeight="1" thickTop="1">
      <c r="A6" s="577" t="s">
        <v>92</v>
      </c>
      <c r="B6" s="681" t="s">
        <v>478</v>
      </c>
      <c r="C6" s="681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5" ht="25.5">
      <c r="A7" s="357"/>
      <c r="B7" s="76"/>
      <c r="C7" s="46" t="s">
        <v>425</v>
      </c>
      <c r="D7" s="57" t="s">
        <v>238</v>
      </c>
      <c r="E7" s="144">
        <f>'Dữ liệu cơ bản'!D7</f>
        <v>26520</v>
      </c>
      <c r="F7" s="152"/>
      <c r="G7" s="322"/>
      <c r="H7" s="322"/>
      <c r="I7" s="322"/>
      <c r="J7" s="322"/>
      <c r="K7" s="322"/>
      <c r="L7" s="322"/>
      <c r="M7" s="322"/>
      <c r="N7" s="322"/>
      <c r="O7" s="60"/>
    </row>
    <row r="8" spans="1:15" ht="24.75" customHeight="1">
      <c r="A8" s="357"/>
      <c r="B8" s="322"/>
      <c r="C8" s="47" t="s">
        <v>426</v>
      </c>
      <c r="D8" s="323" t="s">
        <v>64</v>
      </c>
      <c r="E8" s="321">
        <f>'Dữ liệu theo hoạt động'!$E$40</f>
        <v>56925000</v>
      </c>
      <c r="F8" s="152"/>
      <c r="G8" s="322"/>
      <c r="H8" s="322"/>
      <c r="I8" s="322"/>
      <c r="J8" s="322"/>
      <c r="K8" s="322"/>
      <c r="L8" s="322"/>
      <c r="M8" s="322"/>
      <c r="N8" s="322"/>
      <c r="O8" s="60"/>
    </row>
    <row r="9" spans="1:15" s="581" customFormat="1" ht="34.5" customHeight="1" thickBot="1">
      <c r="A9" s="578" t="s">
        <v>92</v>
      </c>
      <c r="B9" s="675" t="s">
        <v>427</v>
      </c>
      <c r="C9" s="675"/>
      <c r="D9" s="579" t="s">
        <v>87</v>
      </c>
      <c r="E9" s="580">
        <f>SUM(F9:O9)</f>
        <v>18811907613.628044</v>
      </c>
      <c r="F9" s="153">
        <f>E7*E8/1000</f>
        <v>1509651000</v>
      </c>
      <c r="G9" s="153">
        <f>F9*(1+'Dữ liệu theo hoạt động'!$E$60)</f>
        <v>1582114248</v>
      </c>
      <c r="H9" s="153">
        <f>G9*(1+'Dữ liệu theo hoạt động'!$E$60)</f>
        <v>1658055731.904</v>
      </c>
      <c r="I9" s="153">
        <f>H9*(1+'Dữ liệu theo hoạt động'!$E$60)</f>
        <v>1737642407.035392</v>
      </c>
      <c r="J9" s="153">
        <f>I9*(1+'Dữ liệu theo hoạt động'!$E$60)</f>
        <v>1821049242.573091</v>
      </c>
      <c r="K9" s="153">
        <f>J9*(1+'Dữ liệu theo hoạt động'!$E$60)</f>
        <v>1908459606.2165995</v>
      </c>
      <c r="L9" s="153">
        <f>K9*(1+'Dữ liệu theo hoạt động'!$E$60)</f>
        <v>2000065667.3149962</v>
      </c>
      <c r="M9" s="153">
        <f>L9*(1+'Dữ liệu theo hoạt động'!$E$60)</f>
        <v>2096068819.346116</v>
      </c>
      <c r="N9" s="153">
        <f>M9*(1+'Dữ liệu theo hoạt động'!$E$60)</f>
        <v>2196680122.67473</v>
      </c>
      <c r="O9" s="154">
        <f>N9*(1+'Dữ liệu theo hoạt động'!$E$60)</f>
        <v>2302120768.563117</v>
      </c>
    </row>
    <row r="10" ht="15" customHeight="1" thickBot="1"/>
    <row r="11" spans="1:15" ht="27" customHeight="1">
      <c r="A11" s="582" t="s">
        <v>93</v>
      </c>
      <c r="B11" s="676" t="s">
        <v>477</v>
      </c>
      <c r="C11" s="676"/>
      <c r="D11" s="583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5"/>
    </row>
    <row r="12" spans="1:15" ht="27" customHeight="1">
      <c r="A12" s="586"/>
      <c r="B12" s="322"/>
      <c r="C12" s="155" t="s">
        <v>428</v>
      </c>
      <c r="D12" s="57" t="s">
        <v>238</v>
      </c>
      <c r="E12" s="587">
        <f>SUM(E13:E22)</f>
        <v>1334</v>
      </c>
      <c r="F12" s="322"/>
      <c r="G12" s="322"/>
      <c r="H12" s="322"/>
      <c r="I12" s="322"/>
      <c r="J12" s="322"/>
      <c r="K12" s="322"/>
      <c r="L12" s="322"/>
      <c r="M12" s="322"/>
      <c r="N12" s="322"/>
      <c r="O12" s="60"/>
    </row>
    <row r="13" spans="1:15" ht="27" customHeight="1">
      <c r="A13" s="586"/>
      <c r="B13" s="322"/>
      <c r="C13" s="47" t="s">
        <v>131</v>
      </c>
      <c r="D13" s="57" t="s">
        <v>238</v>
      </c>
      <c r="E13" s="588">
        <f>'Dữ liệu cơ bản'!D8</f>
        <v>18</v>
      </c>
      <c r="F13" s="226"/>
      <c r="G13" s="322"/>
      <c r="H13" s="322"/>
      <c r="I13" s="322"/>
      <c r="J13" s="322"/>
      <c r="K13" s="322"/>
      <c r="L13" s="322"/>
      <c r="M13" s="322"/>
      <c r="N13" s="322"/>
      <c r="O13" s="60"/>
    </row>
    <row r="14" spans="1:15" ht="27" customHeight="1">
      <c r="A14" s="586"/>
      <c r="B14" s="322"/>
      <c r="C14" s="47" t="s">
        <v>153</v>
      </c>
      <c r="D14" s="57" t="s">
        <v>238</v>
      </c>
      <c r="E14" s="588">
        <f>'Dữ liệu cơ bản'!D9</f>
        <v>4</v>
      </c>
      <c r="F14" s="226"/>
      <c r="G14" s="322"/>
      <c r="H14" s="322"/>
      <c r="I14" s="322"/>
      <c r="J14" s="322"/>
      <c r="K14" s="322"/>
      <c r="L14" s="322"/>
      <c r="M14" s="322"/>
      <c r="N14" s="322"/>
      <c r="O14" s="60"/>
    </row>
    <row r="15" spans="1:15" ht="27" customHeight="1">
      <c r="A15" s="586"/>
      <c r="B15" s="322"/>
      <c r="C15" s="47" t="s">
        <v>429</v>
      </c>
      <c r="D15" s="57" t="s">
        <v>238</v>
      </c>
      <c r="E15" s="588">
        <f>'Dữ liệu cơ bản'!D10</f>
        <v>8</v>
      </c>
      <c r="F15" s="226"/>
      <c r="G15" s="322"/>
      <c r="H15" s="322"/>
      <c r="I15" s="322"/>
      <c r="J15" s="322"/>
      <c r="K15" s="322"/>
      <c r="L15" s="322"/>
      <c r="M15" s="322"/>
      <c r="N15" s="322"/>
      <c r="O15" s="60"/>
    </row>
    <row r="16" spans="1:15" ht="27" customHeight="1">
      <c r="A16" s="586"/>
      <c r="B16" s="322"/>
      <c r="C16" s="47" t="s">
        <v>430</v>
      </c>
      <c r="D16" s="57" t="s">
        <v>238</v>
      </c>
      <c r="E16" s="588">
        <f>'Dữ liệu cơ bản'!D12</f>
        <v>64</v>
      </c>
      <c r="F16" s="226"/>
      <c r="G16" s="322"/>
      <c r="H16" s="322"/>
      <c r="I16" s="322"/>
      <c r="J16" s="322"/>
      <c r="K16" s="322"/>
      <c r="L16" s="322"/>
      <c r="M16" s="322"/>
      <c r="N16" s="322"/>
      <c r="O16" s="60"/>
    </row>
    <row r="17" spans="1:15" ht="27" customHeight="1">
      <c r="A17" s="586"/>
      <c r="B17" s="322"/>
      <c r="C17" s="47" t="s">
        <v>431</v>
      </c>
      <c r="D17" s="57" t="s">
        <v>238</v>
      </c>
      <c r="E17" s="589">
        <f>'Dữ liệu cơ bản'!D13</f>
        <v>1172</v>
      </c>
      <c r="F17" s="240"/>
      <c r="G17" s="322"/>
      <c r="H17" s="322"/>
      <c r="I17" s="322"/>
      <c r="J17" s="322"/>
      <c r="K17" s="322"/>
      <c r="L17" s="322"/>
      <c r="M17" s="322"/>
      <c r="N17" s="322"/>
      <c r="O17" s="60"/>
    </row>
    <row r="18" spans="1:15" ht="27" customHeight="1">
      <c r="A18" s="586"/>
      <c r="B18" s="322"/>
      <c r="C18" s="47" t="s">
        <v>160</v>
      </c>
      <c r="D18" s="57" t="s">
        <v>238</v>
      </c>
      <c r="E18" s="590">
        <f>'Dữ liệu cơ bản'!D16</f>
        <v>1</v>
      </c>
      <c r="F18" s="222"/>
      <c r="G18" s="322"/>
      <c r="H18" s="322"/>
      <c r="I18" s="322"/>
      <c r="J18" s="322"/>
      <c r="K18" s="322"/>
      <c r="L18" s="322"/>
      <c r="M18" s="322"/>
      <c r="N18" s="322"/>
      <c r="O18" s="60"/>
    </row>
    <row r="19" spans="1:15" ht="27" customHeight="1">
      <c r="A19" s="586"/>
      <c r="B19" s="322"/>
      <c r="C19" s="47" t="s">
        <v>162</v>
      </c>
      <c r="D19" s="57" t="s">
        <v>238</v>
      </c>
      <c r="E19" s="590">
        <f>'Dữ liệu cơ bản'!D17</f>
        <v>1</v>
      </c>
      <c r="F19" s="241"/>
      <c r="G19" s="322"/>
      <c r="H19" s="322"/>
      <c r="I19" s="322"/>
      <c r="J19" s="322"/>
      <c r="K19" s="322"/>
      <c r="L19" s="322"/>
      <c r="M19" s="322"/>
      <c r="N19" s="322"/>
      <c r="O19" s="60"/>
    </row>
    <row r="20" spans="1:15" ht="27" customHeight="1">
      <c r="A20" s="586"/>
      <c r="B20" s="322"/>
      <c r="C20" s="47" t="s">
        <v>432</v>
      </c>
      <c r="D20" s="57" t="s">
        <v>238</v>
      </c>
      <c r="E20" s="590">
        <f>'Dữ liệu cơ bản'!D18</f>
        <v>64</v>
      </c>
      <c r="F20" s="241"/>
      <c r="G20" s="322"/>
      <c r="H20" s="322"/>
      <c r="I20" s="322"/>
      <c r="J20" s="322"/>
      <c r="K20" s="322"/>
      <c r="L20" s="322"/>
      <c r="M20" s="322"/>
      <c r="N20" s="322"/>
      <c r="O20" s="60"/>
    </row>
    <row r="21" spans="1:15" ht="27" customHeight="1">
      <c r="A21" s="586"/>
      <c r="B21" s="322"/>
      <c r="C21" s="47" t="s">
        <v>433</v>
      </c>
      <c r="D21" s="57" t="s">
        <v>238</v>
      </c>
      <c r="E21" s="590">
        <f>'Dữ liệu cơ bản'!D20</f>
        <v>1</v>
      </c>
      <c r="F21" s="241"/>
      <c r="G21" s="322"/>
      <c r="H21" s="322"/>
      <c r="I21" s="322"/>
      <c r="J21" s="322"/>
      <c r="K21" s="322"/>
      <c r="L21" s="322"/>
      <c r="M21" s="322"/>
      <c r="N21" s="322"/>
      <c r="O21" s="60"/>
    </row>
    <row r="22" spans="1:15" ht="27" customHeight="1">
      <c r="A22" s="586"/>
      <c r="B22" s="322"/>
      <c r="C22" s="47" t="s">
        <v>167</v>
      </c>
      <c r="D22" s="57" t="s">
        <v>238</v>
      </c>
      <c r="E22" s="590">
        <f>'Dữ liệu cơ bản'!D22</f>
        <v>1</v>
      </c>
      <c r="F22" s="241"/>
      <c r="G22" s="322"/>
      <c r="H22" s="322"/>
      <c r="I22" s="322"/>
      <c r="J22" s="322"/>
      <c r="K22" s="322"/>
      <c r="L22" s="322"/>
      <c r="M22" s="322"/>
      <c r="N22" s="322"/>
      <c r="O22" s="60"/>
    </row>
    <row r="23" spans="1:15" ht="27" customHeight="1">
      <c r="A23" s="586"/>
      <c r="B23" s="322"/>
      <c r="C23" s="155" t="s">
        <v>434</v>
      </c>
      <c r="D23" s="57" t="s">
        <v>238</v>
      </c>
      <c r="E23" s="587">
        <f>SUM(E24:E28)</f>
        <v>25186</v>
      </c>
      <c r="F23" s="241"/>
      <c r="G23" s="327"/>
      <c r="H23" s="322"/>
      <c r="I23" s="322"/>
      <c r="J23" s="322"/>
      <c r="K23" s="322"/>
      <c r="L23" s="322"/>
      <c r="M23" s="322"/>
      <c r="N23" s="322"/>
      <c r="O23" s="60"/>
    </row>
    <row r="24" spans="1:15" ht="27" customHeight="1">
      <c r="A24" s="586"/>
      <c r="B24" s="322"/>
      <c r="C24" s="47" t="s">
        <v>155</v>
      </c>
      <c r="D24" s="57" t="s">
        <v>238</v>
      </c>
      <c r="E24" s="588">
        <f>'Dữ liệu cơ bản'!D11</f>
        <v>288</v>
      </c>
      <c r="F24" s="241"/>
      <c r="G24" s="322"/>
      <c r="H24" s="322"/>
      <c r="I24" s="322"/>
      <c r="J24" s="322"/>
      <c r="K24" s="322"/>
      <c r="L24" s="322"/>
      <c r="M24" s="322"/>
      <c r="N24" s="322"/>
      <c r="O24" s="60"/>
    </row>
    <row r="25" spans="1:15" ht="27" customHeight="1">
      <c r="A25" s="586"/>
      <c r="B25" s="322"/>
      <c r="C25" s="47" t="s">
        <v>435</v>
      </c>
      <c r="D25" s="57" t="s">
        <v>238</v>
      </c>
      <c r="E25" s="591">
        <f>'Dữ liệu cơ bản'!D14</f>
        <v>1288</v>
      </c>
      <c r="F25" s="241"/>
      <c r="G25" s="322"/>
      <c r="H25" s="322"/>
      <c r="I25" s="322"/>
      <c r="J25" s="322"/>
      <c r="K25" s="322"/>
      <c r="L25" s="322"/>
      <c r="M25" s="322"/>
      <c r="N25" s="322"/>
      <c r="O25" s="60"/>
    </row>
    <row r="26" spans="1:15" ht="27" customHeight="1">
      <c r="A26" s="586"/>
      <c r="B26" s="322"/>
      <c r="C26" s="47" t="s">
        <v>436</v>
      </c>
      <c r="D26" s="57" t="s">
        <v>238</v>
      </c>
      <c r="E26" s="590">
        <f>'Dữ liệu cơ bản'!D15</f>
        <v>22322</v>
      </c>
      <c r="F26" s="241"/>
      <c r="G26" s="322"/>
      <c r="H26" s="322"/>
      <c r="I26" s="322"/>
      <c r="J26" s="322"/>
      <c r="K26" s="322"/>
      <c r="L26" s="322"/>
      <c r="M26" s="322"/>
      <c r="N26" s="322"/>
      <c r="O26" s="60"/>
    </row>
    <row r="27" spans="1:15" ht="27" customHeight="1">
      <c r="A27" s="586"/>
      <c r="B27" s="322"/>
      <c r="C27" s="47" t="s">
        <v>437</v>
      </c>
      <c r="D27" s="57" t="s">
        <v>238</v>
      </c>
      <c r="E27" s="590">
        <f>'Dữ liệu cơ bản'!D19</f>
        <v>644</v>
      </c>
      <c r="F27" s="322"/>
      <c r="G27" s="322"/>
      <c r="H27" s="322"/>
      <c r="I27" s="322"/>
      <c r="J27" s="322"/>
      <c r="K27" s="322"/>
      <c r="L27" s="322"/>
      <c r="M27" s="322"/>
      <c r="N27" s="322"/>
      <c r="O27" s="60"/>
    </row>
    <row r="28" spans="1:15" ht="27" customHeight="1">
      <c r="A28" s="586"/>
      <c r="B28" s="322"/>
      <c r="C28" s="47" t="s">
        <v>456</v>
      </c>
      <c r="D28" s="57" t="s">
        <v>238</v>
      </c>
      <c r="E28" s="590">
        <f>'Dữ liệu cơ bản'!D21</f>
        <v>644</v>
      </c>
      <c r="F28" s="322"/>
      <c r="G28" s="322"/>
      <c r="H28" s="322"/>
      <c r="I28" s="322"/>
      <c r="J28" s="322"/>
      <c r="K28" s="322"/>
      <c r="L28" s="322"/>
      <c r="M28" s="322"/>
      <c r="N28" s="322"/>
      <c r="O28" s="60"/>
    </row>
    <row r="29" spans="1:15" ht="27" customHeight="1">
      <c r="A29" s="586"/>
      <c r="B29" s="322"/>
      <c r="C29" s="47" t="s">
        <v>426</v>
      </c>
      <c r="D29" s="323" t="s">
        <v>64</v>
      </c>
      <c r="E29" s="321">
        <f>'Dữ liệu theo hoạt động'!$E$40</f>
        <v>56925000</v>
      </c>
      <c r="F29" s="322"/>
      <c r="G29" s="322"/>
      <c r="H29" s="322"/>
      <c r="I29" s="322"/>
      <c r="J29" s="322"/>
      <c r="K29" s="322"/>
      <c r="L29" s="322"/>
      <c r="M29" s="322"/>
      <c r="N29" s="322"/>
      <c r="O29" s="60"/>
    </row>
    <row r="30" spans="1:15" ht="27" customHeight="1">
      <c r="A30" s="586"/>
      <c r="B30" s="322"/>
      <c r="C30" s="47" t="s">
        <v>475</v>
      </c>
      <c r="D30" s="323" t="s">
        <v>65</v>
      </c>
      <c r="E30" s="592">
        <v>0.1</v>
      </c>
      <c r="F30" s="322"/>
      <c r="G30" s="322"/>
      <c r="H30" s="322"/>
      <c r="I30" s="322"/>
      <c r="J30" s="322"/>
      <c r="K30" s="322"/>
      <c r="L30" s="322"/>
      <c r="M30" s="322"/>
      <c r="N30" s="322"/>
      <c r="O30" s="60"/>
    </row>
    <row r="31" spans="1:15" s="315" customFormat="1" ht="27" customHeight="1">
      <c r="A31" s="656" t="s">
        <v>93</v>
      </c>
      <c r="B31" s="378"/>
      <c r="C31" s="654" t="s">
        <v>438</v>
      </c>
      <c r="D31" s="363" t="s">
        <v>87</v>
      </c>
      <c r="E31" s="655">
        <f>SUM(F31:O31)</f>
        <v>946270164.2752569</v>
      </c>
      <c r="F31" s="167">
        <f>E12*E29/1000</f>
        <v>75937950</v>
      </c>
      <c r="G31" s="167">
        <f>F31*(1+'Dữ liệu theo hoạt động'!$E$60)</f>
        <v>79582971.60000001</v>
      </c>
      <c r="H31" s="167">
        <f>G31*(1+'Dữ liệu theo hoạt động'!$E$60)</f>
        <v>83402954.23680001</v>
      </c>
      <c r="I31" s="167">
        <f>H31*(1+'Dữ liệu theo hoạt động'!$E$60)</f>
        <v>87406296.04016642</v>
      </c>
      <c r="J31" s="167">
        <f>I31*(1+'Dữ liệu theo hoạt động'!$E$60)</f>
        <v>91601798.25009441</v>
      </c>
      <c r="K31" s="167">
        <f>J31*(1+'Dữ liệu theo hoạt động'!$E$60)</f>
        <v>95998684.56609894</v>
      </c>
      <c r="L31" s="167">
        <f>K31*(1+'Dữ liệu theo hoạt động'!$E$60)</f>
        <v>100606621.42527169</v>
      </c>
      <c r="M31" s="167">
        <f>L31*(1+'Dữ liệu theo hoạt động'!$E$60)</f>
        <v>105435739.25368473</v>
      </c>
      <c r="N31" s="167">
        <f>M31*(1+'Dữ liệu theo hoạt động'!$E$60)</f>
        <v>110496654.7378616</v>
      </c>
      <c r="O31" s="374">
        <f>N31*(1+'Dữ liệu theo hoạt động'!$E$60)</f>
        <v>115800494.16527897</v>
      </c>
    </row>
    <row r="32" spans="1:15" s="315" customFormat="1" ht="27" customHeight="1">
      <c r="A32" s="656" t="s">
        <v>93</v>
      </c>
      <c r="B32" s="378"/>
      <c r="C32" s="654" t="s">
        <v>439</v>
      </c>
      <c r="D32" s="363" t="s">
        <v>87</v>
      </c>
      <c r="E32" s="655">
        <f>SUM(F32:O32)</f>
        <v>1786563744.935279</v>
      </c>
      <c r="F32" s="655">
        <f>E23*(E29*$E$30)/1000</f>
        <v>143371305</v>
      </c>
      <c r="G32" s="167">
        <f>F32*(1+'Dữ liệu theo hoạt động'!$E$60)</f>
        <v>150253127.64000002</v>
      </c>
      <c r="H32" s="167">
        <f>G32*(1+'Dữ liệu theo hoạt động'!$E$60)</f>
        <v>157465277.76672003</v>
      </c>
      <c r="I32" s="167">
        <f>H32*(1+'Dữ liệu theo hoạt động'!$E$60)</f>
        <v>165023611.0995226</v>
      </c>
      <c r="J32" s="167">
        <f>I32*(1+'Dữ liệu theo hoạt động'!$E$60)</f>
        <v>172944744.43229967</v>
      </c>
      <c r="K32" s="167">
        <f>J32*(1+'Dữ liệu theo hoạt động'!$E$60)</f>
        <v>181246092.16505006</v>
      </c>
      <c r="L32" s="167">
        <f>K32*(1+'Dữ liệu theo hoạt động'!$E$60)</f>
        <v>189945904.58897248</v>
      </c>
      <c r="M32" s="167">
        <f>L32*(1+'Dữ liệu theo hoạt động'!$E$60)</f>
        <v>199063308.00924316</v>
      </c>
      <c r="N32" s="167">
        <f>M32*(1+'Dữ liệu theo hoạt động'!$E$60)</f>
        <v>208618346.79368684</v>
      </c>
      <c r="O32" s="374">
        <f>N32*(1+'Dữ liệu theo hoạt động'!$E$60)</f>
        <v>218632027.4397838</v>
      </c>
    </row>
    <row r="33" spans="1:15" s="581" customFormat="1" ht="27" customHeight="1" thickBot="1">
      <c r="A33" s="593" t="s">
        <v>93</v>
      </c>
      <c r="B33" s="594"/>
      <c r="C33" s="595" t="s">
        <v>440</v>
      </c>
      <c r="D33" s="596" t="s">
        <v>87</v>
      </c>
      <c r="E33" s="597">
        <f>SUM(F33:O33)</f>
        <v>2732833909.2105355</v>
      </c>
      <c r="F33" s="597">
        <f>F31+F32</f>
        <v>219309255</v>
      </c>
      <c r="G33" s="597">
        <f>G31+G32</f>
        <v>229836099.24</v>
      </c>
      <c r="H33" s="597">
        <f aca="true" t="shared" si="0" ref="H33:O33">H31+H32</f>
        <v>240868232.00352004</v>
      </c>
      <c r="I33" s="597">
        <f t="shared" si="0"/>
        <v>252429907.13968903</v>
      </c>
      <c r="J33" s="597">
        <f t="shared" si="0"/>
        <v>264546542.6823941</v>
      </c>
      <c r="K33" s="597">
        <f t="shared" si="0"/>
        <v>277244776.731149</v>
      </c>
      <c r="L33" s="597">
        <f t="shared" si="0"/>
        <v>290552526.0142442</v>
      </c>
      <c r="M33" s="597">
        <f t="shared" si="0"/>
        <v>304499047.2629279</v>
      </c>
      <c r="N33" s="597">
        <f t="shared" si="0"/>
        <v>319115001.53154844</v>
      </c>
      <c r="O33" s="598">
        <f t="shared" si="0"/>
        <v>334432521.6050628</v>
      </c>
    </row>
    <row r="34" ht="13.5" thickBot="1"/>
    <row r="35" spans="1:15" ht="25.5" customHeight="1">
      <c r="A35" s="599" t="s">
        <v>94</v>
      </c>
      <c r="B35" s="677" t="s">
        <v>476</v>
      </c>
      <c r="C35" s="677"/>
      <c r="D35" s="600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2"/>
    </row>
    <row r="36" spans="1:15" ht="25.5" customHeight="1">
      <c r="A36" s="603"/>
      <c r="B36" s="322"/>
      <c r="C36" s="46" t="s">
        <v>441</v>
      </c>
      <c r="D36" s="57" t="s">
        <v>170</v>
      </c>
      <c r="E36" s="321">
        <f>SUM(E37:E51)</f>
        <v>26520</v>
      </c>
      <c r="F36" s="327"/>
      <c r="G36" s="322"/>
      <c r="H36" s="322"/>
      <c r="I36" s="322"/>
      <c r="J36" s="322"/>
      <c r="K36" s="322"/>
      <c r="L36" s="322"/>
      <c r="M36" s="322"/>
      <c r="N36" s="322"/>
      <c r="O36" s="60"/>
    </row>
    <row r="37" spans="1:15" ht="25.5" customHeight="1">
      <c r="A37" s="603"/>
      <c r="B37" s="322"/>
      <c r="C37" s="224" t="s">
        <v>131</v>
      </c>
      <c r="D37" s="57" t="s">
        <v>170</v>
      </c>
      <c r="E37" s="588">
        <f>'Dữ liệu cơ bản'!D8</f>
        <v>18</v>
      </c>
      <c r="F37" s="327"/>
      <c r="G37" s="322"/>
      <c r="H37" s="322"/>
      <c r="I37" s="322"/>
      <c r="J37" s="322"/>
      <c r="K37" s="322"/>
      <c r="L37" s="322"/>
      <c r="M37" s="322"/>
      <c r="N37" s="322"/>
      <c r="O37" s="60"/>
    </row>
    <row r="38" spans="1:15" ht="25.5" customHeight="1">
      <c r="A38" s="603"/>
      <c r="B38" s="322"/>
      <c r="C38" s="224" t="s">
        <v>153</v>
      </c>
      <c r="D38" s="57" t="s">
        <v>170</v>
      </c>
      <c r="E38" s="588">
        <f>'Dữ liệu cơ bản'!D9</f>
        <v>4</v>
      </c>
      <c r="F38" s="322"/>
      <c r="G38" s="322"/>
      <c r="H38" s="322"/>
      <c r="I38" s="322"/>
      <c r="J38" s="322"/>
      <c r="K38" s="322"/>
      <c r="L38" s="322"/>
      <c r="M38" s="322"/>
      <c r="N38" s="322"/>
      <c r="O38" s="60"/>
    </row>
    <row r="39" spans="1:15" ht="25.5" customHeight="1">
      <c r="A39" s="603"/>
      <c r="B39" s="322"/>
      <c r="C39" s="224" t="s">
        <v>154</v>
      </c>
      <c r="D39" s="57" t="s">
        <v>170</v>
      </c>
      <c r="E39" s="588">
        <f>'Dữ liệu cơ bản'!D10</f>
        <v>8</v>
      </c>
      <c r="F39" s="322"/>
      <c r="G39" s="322"/>
      <c r="H39" s="322"/>
      <c r="I39" s="322"/>
      <c r="J39" s="322"/>
      <c r="K39" s="322"/>
      <c r="L39" s="322"/>
      <c r="M39" s="322"/>
      <c r="N39" s="322"/>
      <c r="O39" s="60"/>
    </row>
    <row r="40" spans="1:15" ht="25.5" customHeight="1">
      <c r="A40" s="603"/>
      <c r="B40" s="322"/>
      <c r="C40" s="224" t="s">
        <v>155</v>
      </c>
      <c r="D40" s="57" t="s">
        <v>170</v>
      </c>
      <c r="E40" s="588">
        <f>'Dữ liệu cơ bản'!D11</f>
        <v>288</v>
      </c>
      <c r="F40" s="322"/>
      <c r="G40" s="322"/>
      <c r="H40" s="322"/>
      <c r="I40" s="322"/>
      <c r="J40" s="322"/>
      <c r="K40" s="322"/>
      <c r="L40" s="322"/>
      <c r="M40" s="322"/>
      <c r="N40" s="322"/>
      <c r="O40" s="60"/>
    </row>
    <row r="41" spans="1:15" ht="25.5" customHeight="1">
      <c r="A41" s="603"/>
      <c r="B41" s="322"/>
      <c r="C41" s="224" t="s">
        <v>156</v>
      </c>
      <c r="D41" s="57" t="s">
        <v>170</v>
      </c>
      <c r="E41" s="588">
        <f>'Dữ liệu cơ bản'!D12</f>
        <v>64</v>
      </c>
      <c r="F41" s="322"/>
      <c r="G41" s="322"/>
      <c r="H41" s="322"/>
      <c r="I41" s="322"/>
      <c r="J41" s="322"/>
      <c r="K41" s="322"/>
      <c r="L41" s="322"/>
      <c r="M41" s="322"/>
      <c r="N41" s="322"/>
      <c r="O41" s="60"/>
    </row>
    <row r="42" spans="1:15" ht="25.5" customHeight="1">
      <c r="A42" s="603"/>
      <c r="B42" s="322"/>
      <c r="C42" s="224" t="s">
        <v>157</v>
      </c>
      <c r="D42" s="57" t="s">
        <v>170</v>
      </c>
      <c r="E42" s="653">
        <f>'Dữ liệu cơ bản'!D13</f>
        <v>1172</v>
      </c>
      <c r="F42" s="322"/>
      <c r="G42" s="322"/>
      <c r="H42" s="322"/>
      <c r="I42" s="322"/>
      <c r="J42" s="322"/>
      <c r="K42" s="322"/>
      <c r="L42" s="322"/>
      <c r="M42" s="322"/>
      <c r="N42" s="322"/>
      <c r="O42" s="60"/>
    </row>
    <row r="43" spans="1:15" ht="25.5" customHeight="1">
      <c r="A43" s="603"/>
      <c r="B43" s="322"/>
      <c r="C43" s="224" t="s">
        <v>158</v>
      </c>
      <c r="D43" s="57" t="s">
        <v>170</v>
      </c>
      <c r="E43" s="653">
        <f>'Dữ liệu cơ bản'!D14</f>
        <v>1288</v>
      </c>
      <c r="F43" s="322"/>
      <c r="G43" s="322"/>
      <c r="H43" s="322"/>
      <c r="I43" s="322"/>
      <c r="J43" s="322"/>
      <c r="K43" s="322"/>
      <c r="L43" s="322"/>
      <c r="M43" s="322"/>
      <c r="N43" s="322"/>
      <c r="O43" s="60"/>
    </row>
    <row r="44" spans="1:15" ht="25.5" customHeight="1">
      <c r="A44" s="603"/>
      <c r="B44" s="322"/>
      <c r="C44" s="224" t="s">
        <v>159</v>
      </c>
      <c r="D44" s="57" t="s">
        <v>170</v>
      </c>
      <c r="E44" s="653">
        <f>'Dữ liệu cơ bản'!D15</f>
        <v>22322</v>
      </c>
      <c r="F44" s="322"/>
      <c r="G44" s="322"/>
      <c r="H44" s="322"/>
      <c r="I44" s="322"/>
      <c r="J44" s="322"/>
      <c r="K44" s="322"/>
      <c r="L44" s="322"/>
      <c r="M44" s="322"/>
      <c r="N44" s="322"/>
      <c r="O44" s="60"/>
    </row>
    <row r="45" spans="1:15" ht="25.5" customHeight="1">
      <c r="A45" s="603"/>
      <c r="B45" s="322"/>
      <c r="C45" s="224" t="s">
        <v>160</v>
      </c>
      <c r="D45" s="57" t="s">
        <v>170</v>
      </c>
      <c r="E45" s="588">
        <f>'Dữ liệu cơ bản'!D16</f>
        <v>1</v>
      </c>
      <c r="F45" s="322"/>
      <c r="G45" s="322"/>
      <c r="H45" s="322"/>
      <c r="I45" s="322"/>
      <c r="J45" s="322"/>
      <c r="K45" s="322"/>
      <c r="L45" s="322"/>
      <c r="M45" s="322"/>
      <c r="N45" s="322"/>
      <c r="O45" s="60"/>
    </row>
    <row r="46" spans="1:15" ht="25.5" customHeight="1">
      <c r="A46" s="603"/>
      <c r="B46" s="322"/>
      <c r="C46" s="224" t="s">
        <v>162</v>
      </c>
      <c r="D46" s="57" t="s">
        <v>170</v>
      </c>
      <c r="E46" s="588">
        <f>'Dữ liệu cơ bản'!D17</f>
        <v>1</v>
      </c>
      <c r="F46" s="322"/>
      <c r="G46" s="322"/>
      <c r="H46" s="322"/>
      <c r="I46" s="322"/>
      <c r="J46" s="322"/>
      <c r="K46" s="322"/>
      <c r="L46" s="322"/>
      <c r="M46" s="322"/>
      <c r="N46" s="322"/>
      <c r="O46" s="60"/>
    </row>
    <row r="47" spans="1:15" ht="25.5" customHeight="1">
      <c r="A47" s="603"/>
      <c r="B47" s="322"/>
      <c r="C47" s="224" t="s">
        <v>163</v>
      </c>
      <c r="D47" s="57" t="s">
        <v>170</v>
      </c>
      <c r="E47" s="588">
        <f>'Dữ liệu cơ bản'!D18</f>
        <v>64</v>
      </c>
      <c r="F47" s="322"/>
      <c r="G47" s="322"/>
      <c r="H47" s="322"/>
      <c r="I47" s="322"/>
      <c r="J47" s="322"/>
      <c r="K47" s="322"/>
      <c r="L47" s="322"/>
      <c r="M47" s="322"/>
      <c r="N47" s="322"/>
      <c r="O47" s="60"/>
    </row>
    <row r="48" spans="1:15" ht="25.5" customHeight="1">
      <c r="A48" s="603"/>
      <c r="B48" s="322"/>
      <c r="C48" s="224" t="s">
        <v>164</v>
      </c>
      <c r="D48" s="57" t="s">
        <v>170</v>
      </c>
      <c r="E48" s="588">
        <f>'Dữ liệu cơ bản'!D19</f>
        <v>644</v>
      </c>
      <c r="F48" s="322"/>
      <c r="G48" s="322"/>
      <c r="H48" s="322"/>
      <c r="I48" s="322"/>
      <c r="J48" s="322"/>
      <c r="K48" s="322"/>
      <c r="L48" s="322"/>
      <c r="M48" s="322"/>
      <c r="N48" s="322"/>
      <c r="O48" s="60"/>
    </row>
    <row r="49" spans="1:15" ht="25.5" customHeight="1">
      <c r="A49" s="603"/>
      <c r="B49" s="322"/>
      <c r="C49" s="224" t="s">
        <v>165</v>
      </c>
      <c r="D49" s="57" t="s">
        <v>170</v>
      </c>
      <c r="E49" s="588">
        <f>'Dữ liệu cơ bản'!D20</f>
        <v>1</v>
      </c>
      <c r="F49" s="322"/>
      <c r="G49" s="322"/>
      <c r="H49" s="322"/>
      <c r="I49" s="322"/>
      <c r="J49" s="322"/>
      <c r="K49" s="322"/>
      <c r="L49" s="322"/>
      <c r="M49" s="322"/>
      <c r="N49" s="322"/>
      <c r="O49" s="60"/>
    </row>
    <row r="50" spans="1:15" ht="25.5" customHeight="1">
      <c r="A50" s="603"/>
      <c r="B50" s="322"/>
      <c r="C50" s="224" t="s">
        <v>166</v>
      </c>
      <c r="D50" s="57" t="s">
        <v>170</v>
      </c>
      <c r="E50" s="588">
        <f>'Dữ liệu cơ bản'!D21</f>
        <v>644</v>
      </c>
      <c r="F50" s="322"/>
      <c r="G50" s="322"/>
      <c r="H50" s="322"/>
      <c r="I50" s="322"/>
      <c r="J50" s="322"/>
      <c r="K50" s="322"/>
      <c r="L50" s="322"/>
      <c r="M50" s="322"/>
      <c r="N50" s="322"/>
      <c r="O50" s="60"/>
    </row>
    <row r="51" spans="1:15" ht="25.5" customHeight="1">
      <c r="A51" s="603"/>
      <c r="B51" s="322"/>
      <c r="C51" s="224" t="s">
        <v>167</v>
      </c>
      <c r="D51" s="57" t="s">
        <v>170</v>
      </c>
      <c r="E51" s="588">
        <f>'Dữ liệu cơ bản'!D22</f>
        <v>1</v>
      </c>
      <c r="F51" s="322"/>
      <c r="G51" s="322"/>
      <c r="H51" s="322"/>
      <c r="I51" s="322"/>
      <c r="J51" s="322"/>
      <c r="K51" s="322"/>
      <c r="L51" s="322"/>
      <c r="M51" s="322"/>
      <c r="N51" s="322"/>
      <c r="O51" s="60"/>
    </row>
    <row r="52" spans="1:15" ht="25.5" customHeight="1">
      <c r="A52" s="603"/>
      <c r="B52" s="322"/>
      <c r="C52" s="47" t="s">
        <v>426</v>
      </c>
      <c r="D52" s="323" t="s">
        <v>64</v>
      </c>
      <c r="E52" s="590">
        <f>E29</f>
        <v>56925000</v>
      </c>
      <c r="F52" s="322"/>
      <c r="G52" s="322"/>
      <c r="H52" s="322"/>
      <c r="I52" s="322"/>
      <c r="J52" s="322"/>
      <c r="K52" s="322"/>
      <c r="L52" s="322"/>
      <c r="M52" s="322"/>
      <c r="N52" s="322"/>
      <c r="O52" s="60"/>
    </row>
    <row r="53" spans="1:15" ht="25.5" customHeight="1">
      <c r="A53" s="603"/>
      <c r="B53" s="322"/>
      <c r="C53" s="47" t="s">
        <v>475</v>
      </c>
      <c r="D53" s="323" t="s">
        <v>65</v>
      </c>
      <c r="E53" s="592">
        <v>0.1</v>
      </c>
      <c r="F53" s="322"/>
      <c r="G53" s="322"/>
      <c r="H53" s="322"/>
      <c r="I53" s="322"/>
      <c r="J53" s="322"/>
      <c r="K53" s="322"/>
      <c r="L53" s="322"/>
      <c r="M53" s="322"/>
      <c r="N53" s="322"/>
      <c r="O53" s="60"/>
    </row>
    <row r="54" spans="1:15" s="581" customFormat="1" ht="25.5" customHeight="1" thickBot="1">
      <c r="A54" s="657" t="s">
        <v>94</v>
      </c>
      <c r="B54" s="658"/>
      <c r="C54" s="659" t="s">
        <v>442</v>
      </c>
      <c r="D54" s="660" t="s">
        <v>87</v>
      </c>
      <c r="E54" s="661">
        <f>SUM(F54:O54)</f>
        <v>1881190761.3628042</v>
      </c>
      <c r="F54" s="661">
        <f>E36*E52*E53/1000</f>
        <v>150965100</v>
      </c>
      <c r="G54" s="661">
        <f>F54*(1+'Dữ liệu theo hoạt động'!$E$60)</f>
        <v>158211424.8</v>
      </c>
      <c r="H54" s="661">
        <f>G54*(1+'Dữ liệu theo hoạt động'!$E$60)</f>
        <v>165805573.1904</v>
      </c>
      <c r="I54" s="661">
        <f>H54*(1+'Dữ liệu theo hoạt động'!$E$60)</f>
        <v>173764240.70353922</v>
      </c>
      <c r="J54" s="661">
        <f>I54*(1+'Dữ liệu theo hoạt động'!$E$60)</f>
        <v>182104924.2573091</v>
      </c>
      <c r="K54" s="661">
        <f>J54*(1+'Dữ liệu theo hoạt động'!$E$60)</f>
        <v>190845960.62165996</v>
      </c>
      <c r="L54" s="661">
        <f>K54*(1+'Dữ liệu theo hoạt động'!$E$60)</f>
        <v>200006566.73149964</v>
      </c>
      <c r="M54" s="661">
        <f>L54*(1+'Dữ liệu theo hoạt động'!$E$60)</f>
        <v>209606881.93461165</v>
      </c>
      <c r="N54" s="661">
        <f>M54*(1+'Dữ liệu theo hoạt động'!$E$60)</f>
        <v>219668012.267473</v>
      </c>
      <c r="O54" s="662">
        <f>N54*(1+'Dữ liệu theo hoạt động'!$E$60)</f>
        <v>230212076.85631174</v>
      </c>
    </row>
  </sheetData>
  <sheetProtection/>
  <mergeCells count="6">
    <mergeCell ref="B9:C9"/>
    <mergeCell ref="B11:C11"/>
    <mergeCell ref="B35:C35"/>
    <mergeCell ref="B2:C2"/>
    <mergeCell ref="B4:C4"/>
    <mergeCell ref="B6:C6"/>
  </mergeCells>
  <printOptions/>
  <pageMargins left="0.25" right="0.2" top="0.87" bottom="0.34" header="0.3" footer="0.22"/>
  <pageSetup horizontalDpi="600" verticalDpi="600" orientation="landscape" r:id="rId1"/>
  <headerFooter alignWithMargins="0">
    <oddHeader>&amp;C&amp;"Times New Roman,Bold"&amp;14&amp;K000000PHỤ LỤC 5: TÍNH TOÁN CHI PHÍ - LỢI ÍCH CHO VẤN ĐỀ 3</oddHeader>
    <oddFooter>&amp;L&amp;"Calibri,Regular"&amp;K000000&amp;D&amp;C&amp;"Calibri,Regular"&amp;K000000Trang &amp;P of &amp;N&amp;R&amp;"Calibri,Regular"&amp;K000000&amp;A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="150" zoomScaleNormal="150" zoomScalePageLayoutView="15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4" sqref="C14"/>
    </sheetView>
  </sheetViews>
  <sheetFormatPr defaultColWidth="8.8515625" defaultRowHeight="15"/>
  <cols>
    <col min="1" max="1" width="7.8515625" style="133" bestFit="1" customWidth="1"/>
    <col min="2" max="2" width="4.421875" style="133" customWidth="1"/>
    <col min="3" max="3" width="39.421875" style="133" bestFit="1" customWidth="1"/>
    <col min="4" max="4" width="10.00390625" style="133" bestFit="1" customWidth="1"/>
    <col min="5" max="5" width="13.140625" style="133" bestFit="1" customWidth="1"/>
    <col min="6" max="15" width="10.8515625" style="133" bestFit="1" customWidth="1"/>
    <col min="16" max="16384" width="8.8515625" style="133" customWidth="1"/>
  </cols>
  <sheetData>
    <row r="1" spans="1:15" ht="63.75">
      <c r="A1" s="615" t="s">
        <v>415</v>
      </c>
      <c r="B1" s="616"/>
      <c r="C1" s="617" t="s">
        <v>457</v>
      </c>
      <c r="D1" s="31" t="s">
        <v>416</v>
      </c>
      <c r="E1" s="618" t="s">
        <v>255</v>
      </c>
      <c r="F1" s="619" t="s">
        <v>256</v>
      </c>
      <c r="G1" s="619" t="s">
        <v>257</v>
      </c>
      <c r="H1" s="619" t="s">
        <v>258</v>
      </c>
      <c r="I1" s="619" t="s">
        <v>259</v>
      </c>
      <c r="J1" s="619" t="s">
        <v>260</v>
      </c>
      <c r="K1" s="619" t="s">
        <v>261</v>
      </c>
      <c r="L1" s="619" t="s">
        <v>262</v>
      </c>
      <c r="M1" s="619" t="s">
        <v>263</v>
      </c>
      <c r="N1" s="619" t="s">
        <v>264</v>
      </c>
      <c r="O1" s="620" t="s">
        <v>265</v>
      </c>
    </row>
    <row r="2" spans="1:15" ht="24" customHeight="1">
      <c r="A2" s="308" t="s">
        <v>97</v>
      </c>
      <c r="B2" s="710" t="s">
        <v>458</v>
      </c>
      <c r="C2" s="710"/>
      <c r="D2" s="621"/>
      <c r="E2" s="622"/>
      <c r="F2" s="623"/>
      <c r="G2" s="623"/>
      <c r="H2" s="623"/>
      <c r="I2" s="623"/>
      <c r="J2" s="623"/>
      <c r="K2" s="623"/>
      <c r="L2" s="623"/>
      <c r="M2" s="623"/>
      <c r="N2" s="623"/>
      <c r="O2" s="624"/>
    </row>
    <row r="3" spans="1:15" ht="24" customHeight="1">
      <c r="A3" s="625"/>
      <c r="B3" s="149"/>
      <c r="C3" s="53" t="s">
        <v>417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ht="24" customHeight="1">
      <c r="A4" s="626" t="s">
        <v>97</v>
      </c>
      <c r="B4" s="711" t="s">
        <v>459</v>
      </c>
      <c r="C4" s="711"/>
      <c r="D4" s="627" t="s">
        <v>86</v>
      </c>
      <c r="E4" s="628">
        <v>0</v>
      </c>
      <c r="F4" s="628">
        <v>0</v>
      </c>
      <c r="G4" s="628">
        <v>0</v>
      </c>
      <c r="H4" s="628">
        <v>0</v>
      </c>
      <c r="I4" s="628">
        <v>0</v>
      </c>
      <c r="J4" s="628">
        <v>0</v>
      </c>
      <c r="K4" s="628">
        <v>0</v>
      </c>
      <c r="L4" s="628">
        <v>0</v>
      </c>
      <c r="M4" s="628">
        <v>0</v>
      </c>
      <c r="N4" s="628">
        <v>0</v>
      </c>
      <c r="O4" s="629">
        <v>0</v>
      </c>
    </row>
    <row r="5" spans="1:15" ht="12.75">
      <c r="A5" s="625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24.75" customHeight="1">
      <c r="A6" s="145" t="s">
        <v>98</v>
      </c>
      <c r="B6" s="712" t="s">
        <v>460</v>
      </c>
      <c r="C6" s="712"/>
      <c r="D6" s="79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1"/>
    </row>
    <row r="7" spans="1:15" ht="24.75" customHeight="1">
      <c r="A7" s="145"/>
      <c r="B7" s="76"/>
      <c r="C7" s="53" t="s">
        <v>461</v>
      </c>
      <c r="D7" s="57" t="s">
        <v>64</v>
      </c>
      <c r="E7" s="220">
        <f>'Vấn đề 3'!E29</f>
        <v>56925000</v>
      </c>
      <c r="F7" s="152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24.75" customHeight="1">
      <c r="A8" s="145"/>
      <c r="B8" s="76"/>
      <c r="C8" s="53" t="s">
        <v>462</v>
      </c>
      <c r="D8" s="57" t="s">
        <v>64</v>
      </c>
      <c r="E8" s="221">
        <f>20*200*12*'Dữ liệu cơ bản'!D24</f>
        <v>1026960000</v>
      </c>
      <c r="F8" s="152"/>
      <c r="G8" s="149"/>
      <c r="H8" s="149"/>
      <c r="I8" s="149"/>
      <c r="J8" s="149"/>
      <c r="K8" s="149"/>
      <c r="L8" s="149"/>
      <c r="M8" s="149"/>
      <c r="N8" s="149"/>
      <c r="O8" s="150"/>
    </row>
    <row r="9" spans="1:15" ht="24.75" customHeight="1">
      <c r="A9" s="145"/>
      <c r="B9" s="76"/>
      <c r="C9" s="53" t="s">
        <v>463</v>
      </c>
      <c r="D9" s="57" t="s">
        <v>64</v>
      </c>
      <c r="E9" s="220">
        <v>18000000</v>
      </c>
      <c r="F9" s="152"/>
      <c r="G9" s="149"/>
      <c r="H9" s="149"/>
      <c r="I9" s="149"/>
      <c r="J9" s="149"/>
      <c r="K9" s="149"/>
      <c r="L9" s="149"/>
      <c r="M9" s="149"/>
      <c r="N9" s="149"/>
      <c r="O9" s="150"/>
    </row>
    <row r="10" spans="1:15" ht="24.75" customHeight="1">
      <c r="A10" s="145"/>
      <c r="B10" s="76"/>
      <c r="C10" s="53" t="s">
        <v>464</v>
      </c>
      <c r="D10" s="107" t="s">
        <v>469</v>
      </c>
      <c r="E10" s="149">
        <v>30</v>
      </c>
      <c r="F10" s="152"/>
      <c r="G10" s="149"/>
      <c r="H10" s="149"/>
      <c r="I10" s="149"/>
      <c r="J10" s="149"/>
      <c r="K10" s="149"/>
      <c r="L10" s="149"/>
      <c r="M10" s="149"/>
      <c r="N10" s="149"/>
      <c r="O10" s="150"/>
    </row>
    <row r="11" spans="1:15" ht="24.75" customHeight="1">
      <c r="A11" s="632" t="s">
        <v>98</v>
      </c>
      <c r="B11" s="713" t="s">
        <v>465</v>
      </c>
      <c r="C11" s="713"/>
      <c r="D11" s="633" t="s">
        <v>87</v>
      </c>
      <c r="E11" s="634">
        <f>SUM(F11:O11)</f>
        <v>40806479.10107959</v>
      </c>
      <c r="F11" s="635">
        <f>((E7+E9)*E10+E8)/1000</f>
        <v>3274710</v>
      </c>
      <c r="G11" s="635">
        <f>F11*(1+'Dữ liệu theo hoạt động'!$E$60)</f>
        <v>3431896.08</v>
      </c>
      <c r="H11" s="635">
        <f>G11*(1+'Dữ liệu theo hoạt động'!$E$60)</f>
        <v>3596627.0918400004</v>
      </c>
      <c r="I11" s="635">
        <f>H11*(1+'Dữ liệu theo hoạt động'!$E$60)</f>
        <v>3769265.1922483207</v>
      </c>
      <c r="J11" s="635">
        <f>I11*(1+'Dữ liệu theo hoạt động'!$E$60)</f>
        <v>3950189.9214762403</v>
      </c>
      <c r="K11" s="635">
        <f>J11*(1+'Dữ liệu theo hoạt động'!$E$60)</f>
        <v>4139799.0377071</v>
      </c>
      <c r="L11" s="635">
        <f>K11*(1+'Dữ liệu theo hoạt động'!$E$60)</f>
        <v>4338509.391517041</v>
      </c>
      <c r="M11" s="635">
        <f>L11*(1+'Dữ liệu theo hoạt động'!$E$60)</f>
        <v>4546757.84230986</v>
      </c>
      <c r="N11" s="635">
        <f>M11*(1+'Dữ liệu theo hoạt động'!$E$60)</f>
        <v>4765002.218740733</v>
      </c>
      <c r="O11" s="636">
        <f>N11*(1+'Dữ liệu theo hoạt động'!$E$60)</f>
        <v>4993722.325240289</v>
      </c>
    </row>
    <row r="12" spans="1:15" ht="12.75">
      <c r="A12" s="625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1:15" ht="25.5" customHeight="1">
      <c r="A13" s="160" t="s">
        <v>99</v>
      </c>
      <c r="B13" s="708" t="s">
        <v>466</v>
      </c>
      <c r="C13" s="70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637"/>
    </row>
    <row r="14" spans="1:15" ht="25.5" customHeight="1">
      <c r="A14" s="158"/>
      <c r="B14" s="149"/>
      <c r="C14" s="53" t="s">
        <v>461</v>
      </c>
      <c r="D14" s="57" t="s">
        <v>64</v>
      </c>
      <c r="E14" s="220">
        <f>E7</f>
        <v>56925000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ht="25.5" customHeight="1">
      <c r="A15" s="158"/>
      <c r="B15" s="149"/>
      <c r="C15" s="53" t="s">
        <v>463</v>
      </c>
      <c r="D15" s="57" t="s">
        <v>64</v>
      </c>
      <c r="E15" s="220">
        <v>18000000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50"/>
    </row>
    <row r="16" spans="1:15" ht="25.5" customHeight="1">
      <c r="A16" s="158"/>
      <c r="B16" s="149"/>
      <c r="C16" s="53" t="s">
        <v>467</v>
      </c>
      <c r="D16" s="107" t="s">
        <v>469</v>
      </c>
      <c r="E16" s="149">
        <v>25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1:15" ht="25.5" customHeight="1" thickBot="1">
      <c r="A17" s="161" t="s">
        <v>99</v>
      </c>
      <c r="B17" s="162"/>
      <c r="C17" s="568" t="s">
        <v>468</v>
      </c>
      <c r="D17" s="162" t="s">
        <v>87</v>
      </c>
      <c r="E17" s="163">
        <f>SUM(F17:O17)</f>
        <v>23341192.40061248</v>
      </c>
      <c r="F17" s="163">
        <f>(E14+E15)*E16/1000</f>
        <v>1873125</v>
      </c>
      <c r="G17" s="163">
        <f>F17*(1+'Dữ liệu theo hoạt động'!$E$60)</f>
        <v>1963035</v>
      </c>
      <c r="H17" s="163">
        <f>G17*(1+'Dữ liệu theo hoạt động'!$E$60)</f>
        <v>2057260.6800000002</v>
      </c>
      <c r="I17" s="163">
        <f>H17*(1+'Dữ liệu theo hoạt động'!$E$60)</f>
        <v>2156009.1926400005</v>
      </c>
      <c r="J17" s="163">
        <f>I17*(1+'Dữ liệu theo hoạt động'!$E$60)</f>
        <v>2259497.6338867205</v>
      </c>
      <c r="K17" s="163">
        <f>J17*(1+'Dữ liệu theo hoạt động'!$E$60)</f>
        <v>2367953.5203132834</v>
      </c>
      <c r="L17" s="163">
        <f>K17*(1+'Dữ liệu theo hoạt động'!$E$60)</f>
        <v>2481615.289288321</v>
      </c>
      <c r="M17" s="163">
        <f>L17*(1+'Dữ liệu theo hoạt động'!$E$60)</f>
        <v>2600732.8231741604</v>
      </c>
      <c r="N17" s="163">
        <f>M17*(1+'Dữ liệu theo hoạt động'!$E$60)</f>
        <v>2725567.9986865204</v>
      </c>
      <c r="O17" s="164">
        <f>N17*(1+'Dữ liệu theo hoạt động'!$E$60)</f>
        <v>2856395.2626234735</v>
      </c>
    </row>
  </sheetData>
  <sheetProtection/>
  <mergeCells count="5">
    <mergeCell ref="B13:C13"/>
    <mergeCell ref="B2:C2"/>
    <mergeCell ref="B4:C4"/>
    <mergeCell ref="B6:C6"/>
    <mergeCell ref="B11:C11"/>
  </mergeCells>
  <printOptions/>
  <pageMargins left="0.29" right="0.26" top="1.02" bottom="0.61" header="0.3" footer="0.3"/>
  <pageSetup horizontalDpi="600" verticalDpi="600" orientation="landscape" r:id="rId1"/>
  <headerFooter alignWithMargins="0">
    <oddHeader>&amp;C&amp;"Times New Roman,Bold"&amp;14PHỤ LỤC 6: TÍNH TOÁN CHI PHÍ CHO VẤN ĐỀ 4</oddHeader>
    <oddFooter>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="95" zoomScaleNormal="95" zoomScalePageLayoutView="9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7" sqref="F17"/>
    </sheetView>
  </sheetViews>
  <sheetFormatPr defaultColWidth="8.8515625" defaultRowHeight="15"/>
  <cols>
    <col min="1" max="1" width="8.00390625" style="8" bestFit="1" customWidth="1"/>
    <col min="2" max="2" width="20.8515625" style="1" bestFit="1" customWidth="1"/>
    <col min="3" max="3" width="10.140625" style="1" bestFit="1" customWidth="1"/>
    <col min="4" max="4" width="11.421875" style="1" bestFit="1" customWidth="1"/>
    <col min="5" max="5" width="11.7109375" style="1" bestFit="1" customWidth="1"/>
    <col min="6" max="6" width="12.421875" style="1" bestFit="1" customWidth="1"/>
    <col min="7" max="7" width="12.421875" style="1" customWidth="1"/>
    <col min="8" max="9" width="14.28125" style="1" bestFit="1" customWidth="1"/>
    <col min="10" max="10" width="9.8515625" style="1" bestFit="1" customWidth="1"/>
    <col min="11" max="11" width="9.28125" style="1" bestFit="1" customWidth="1"/>
    <col min="12" max="12" width="12.7109375" style="1" bestFit="1" customWidth="1"/>
    <col min="13" max="13" width="15.140625" style="1" customWidth="1"/>
    <col min="14" max="16384" width="8.8515625" style="1" customWidth="1"/>
  </cols>
  <sheetData>
    <row r="1" spans="1:13" ht="25.5" customHeight="1">
      <c r="A1" s="14" t="s">
        <v>0</v>
      </c>
      <c r="B1" s="51" t="s">
        <v>45</v>
      </c>
      <c r="C1" s="51" t="s">
        <v>21</v>
      </c>
      <c r="D1" s="51" t="s">
        <v>31</v>
      </c>
      <c r="E1" s="51" t="s">
        <v>6</v>
      </c>
      <c r="F1" s="51" t="s">
        <v>1</v>
      </c>
      <c r="G1" s="51" t="s">
        <v>2</v>
      </c>
      <c r="H1" s="714" t="s">
        <v>4</v>
      </c>
      <c r="I1" s="714"/>
      <c r="J1" s="714"/>
      <c r="K1" s="714"/>
      <c r="L1" s="51" t="s">
        <v>51</v>
      </c>
      <c r="M1" s="15" t="s">
        <v>71</v>
      </c>
    </row>
    <row r="2" spans="1:13" ht="25.5" customHeight="1">
      <c r="A2" s="16" t="s">
        <v>19</v>
      </c>
      <c r="B2" s="52" t="s">
        <v>46</v>
      </c>
      <c r="C2" s="52" t="s">
        <v>22</v>
      </c>
      <c r="D2" s="52" t="s">
        <v>7</v>
      </c>
      <c r="E2" s="52" t="s">
        <v>8</v>
      </c>
      <c r="F2" s="52" t="s">
        <v>9</v>
      </c>
      <c r="G2" s="52" t="s">
        <v>10</v>
      </c>
      <c r="H2" s="715" t="s">
        <v>11</v>
      </c>
      <c r="I2" s="715"/>
      <c r="J2" s="715"/>
      <c r="K2" s="715"/>
      <c r="L2" s="69" t="s">
        <v>53</v>
      </c>
      <c r="M2" s="45" t="s">
        <v>58</v>
      </c>
    </row>
    <row r="3" spans="1:13" ht="25.5" customHeight="1">
      <c r="A3" s="17"/>
      <c r="B3" s="3"/>
      <c r="C3" s="3"/>
      <c r="D3" s="3"/>
      <c r="E3" s="3"/>
      <c r="F3" s="3"/>
      <c r="G3" s="3"/>
      <c r="H3" s="70" t="s">
        <v>3</v>
      </c>
      <c r="I3" s="70" t="s">
        <v>20</v>
      </c>
      <c r="J3" s="70" t="s">
        <v>14</v>
      </c>
      <c r="K3" s="70" t="s">
        <v>5</v>
      </c>
      <c r="L3" s="3"/>
      <c r="M3" s="19"/>
    </row>
    <row r="4" spans="1:13" ht="25.5" customHeight="1" thickBot="1">
      <c r="A4" s="22"/>
      <c r="B4" s="2"/>
      <c r="C4" s="2"/>
      <c r="D4" s="2"/>
      <c r="E4" s="2"/>
      <c r="F4" s="2"/>
      <c r="G4" s="2"/>
      <c r="H4" s="9" t="s">
        <v>12</v>
      </c>
      <c r="I4" s="9" t="s">
        <v>13</v>
      </c>
      <c r="J4" s="9" t="s">
        <v>15</v>
      </c>
      <c r="K4" s="9" t="s">
        <v>16</v>
      </c>
      <c r="L4" s="3"/>
      <c r="M4" s="19"/>
    </row>
    <row r="5" spans="1:13" ht="25.5" customHeight="1">
      <c r="A5" s="23">
        <v>1</v>
      </c>
      <c r="B5" s="24" t="s">
        <v>17</v>
      </c>
      <c r="C5" s="25" t="s">
        <v>27</v>
      </c>
      <c r="D5" s="25" t="s">
        <v>27</v>
      </c>
      <c r="E5" s="25" t="s">
        <v>27</v>
      </c>
      <c r="F5" s="25" t="s">
        <v>27</v>
      </c>
      <c r="G5" s="25" t="s">
        <v>27</v>
      </c>
      <c r="H5" s="25" t="s">
        <v>27</v>
      </c>
      <c r="I5" s="25" t="s">
        <v>27</v>
      </c>
      <c r="J5" s="25" t="s">
        <v>27</v>
      </c>
      <c r="K5" s="25" t="s">
        <v>27</v>
      </c>
      <c r="L5" s="6" t="s">
        <v>27</v>
      </c>
      <c r="M5" s="19" t="s">
        <v>27</v>
      </c>
    </row>
    <row r="6" spans="1:13" ht="25.5" customHeight="1">
      <c r="A6" s="18"/>
      <c r="B6" s="7" t="s">
        <v>18</v>
      </c>
      <c r="C6" s="6" t="s">
        <v>27</v>
      </c>
      <c r="D6" s="6" t="s">
        <v>27</v>
      </c>
      <c r="E6" s="6" t="s">
        <v>27</v>
      </c>
      <c r="F6" s="6" t="s">
        <v>27</v>
      </c>
      <c r="G6" s="6" t="s">
        <v>27</v>
      </c>
      <c r="H6" s="6" t="s">
        <v>27</v>
      </c>
      <c r="I6" s="6" t="s">
        <v>27</v>
      </c>
      <c r="J6" s="6" t="s">
        <v>27</v>
      </c>
      <c r="K6" s="6" t="s">
        <v>27</v>
      </c>
      <c r="L6" s="6" t="s">
        <v>27</v>
      </c>
      <c r="M6" s="19" t="s">
        <v>27</v>
      </c>
    </row>
    <row r="7" spans="1:13" ht="25.5" customHeight="1">
      <c r="A7" s="18">
        <v>2</v>
      </c>
      <c r="B7" s="7" t="s">
        <v>17</v>
      </c>
      <c r="C7" s="37" t="s">
        <v>23</v>
      </c>
      <c r="D7" s="37" t="s">
        <v>23</v>
      </c>
      <c r="E7" s="37" t="s">
        <v>23</v>
      </c>
      <c r="F7" s="37" t="s">
        <v>23</v>
      </c>
      <c r="G7" s="37" t="s">
        <v>28</v>
      </c>
      <c r="H7" s="37" t="s">
        <v>23</v>
      </c>
      <c r="I7" s="37" t="s">
        <v>23</v>
      </c>
      <c r="J7" s="37" t="s">
        <v>23</v>
      </c>
      <c r="K7" s="37" t="s">
        <v>23</v>
      </c>
      <c r="L7" s="37" t="s">
        <v>23</v>
      </c>
      <c r="M7" s="19">
        <v>0</v>
      </c>
    </row>
    <row r="8" spans="1:13" ht="25.5" customHeight="1">
      <c r="A8" s="18"/>
      <c r="B8" s="7" t="s">
        <v>18</v>
      </c>
      <c r="C8" s="6">
        <v>0</v>
      </c>
      <c r="D8" s="6">
        <v>0</v>
      </c>
      <c r="E8" s="6">
        <v>0</v>
      </c>
      <c r="F8" s="37" t="s">
        <v>23</v>
      </c>
      <c r="G8" s="37" t="s">
        <v>28</v>
      </c>
      <c r="H8" s="37" t="s">
        <v>23</v>
      </c>
      <c r="I8" s="6">
        <v>0</v>
      </c>
      <c r="J8" s="6">
        <v>0</v>
      </c>
      <c r="K8" s="6">
        <v>0</v>
      </c>
      <c r="L8" s="6">
        <v>0</v>
      </c>
      <c r="M8" s="19">
        <v>0</v>
      </c>
    </row>
    <row r="9" spans="1:13" ht="25.5" customHeight="1">
      <c r="A9" s="18">
        <v>3</v>
      </c>
      <c r="B9" s="7" t="s">
        <v>17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37" t="s">
        <v>23</v>
      </c>
      <c r="I9" s="6">
        <v>0</v>
      </c>
      <c r="J9" s="6">
        <v>0</v>
      </c>
      <c r="K9" s="37" t="s">
        <v>23</v>
      </c>
      <c r="L9" s="6">
        <v>0</v>
      </c>
      <c r="M9" s="19">
        <v>0</v>
      </c>
    </row>
    <row r="10" spans="1:13" ht="25.5" customHeight="1">
      <c r="A10" s="18"/>
      <c r="B10" s="7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9">
        <v>0</v>
      </c>
    </row>
    <row r="11" spans="1:13" ht="25.5" customHeight="1">
      <c r="A11" s="18">
        <v>4</v>
      </c>
      <c r="B11" s="7" t="s">
        <v>17</v>
      </c>
      <c r="C11" s="6">
        <v>0</v>
      </c>
      <c r="D11" s="6">
        <v>0</v>
      </c>
      <c r="E11" s="6">
        <v>0</v>
      </c>
      <c r="F11" s="39" t="s">
        <v>49</v>
      </c>
      <c r="G11" s="6">
        <v>0</v>
      </c>
      <c r="H11" s="6" t="s">
        <v>50</v>
      </c>
      <c r="I11" s="6">
        <v>0</v>
      </c>
      <c r="J11" s="37" t="s">
        <v>23</v>
      </c>
      <c r="K11" s="37" t="s">
        <v>23</v>
      </c>
      <c r="L11" s="6">
        <v>0</v>
      </c>
      <c r="M11" s="19">
        <v>0</v>
      </c>
    </row>
    <row r="12" spans="1:13" ht="25.5" customHeight="1">
      <c r="A12" s="18"/>
      <c r="B12" s="7" t="s">
        <v>18</v>
      </c>
      <c r="C12" s="6">
        <v>0</v>
      </c>
      <c r="D12" s="6">
        <v>0</v>
      </c>
      <c r="E12" s="6">
        <v>0</v>
      </c>
      <c r="F12" s="39" t="s">
        <v>49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9">
        <v>0</v>
      </c>
    </row>
    <row r="13" spans="1:13" ht="25.5" customHeight="1">
      <c r="A13" s="18">
        <v>5</v>
      </c>
      <c r="B13" s="7" t="s">
        <v>17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37" t="s">
        <v>23</v>
      </c>
      <c r="I13" s="37" t="s">
        <v>23</v>
      </c>
      <c r="J13" s="37" t="s">
        <v>23</v>
      </c>
      <c r="K13" s="37" t="s">
        <v>23</v>
      </c>
      <c r="L13" s="37" t="s">
        <v>23</v>
      </c>
      <c r="M13" s="19" t="s">
        <v>24</v>
      </c>
    </row>
    <row r="14" spans="1:13" ht="25.5" customHeight="1" thickBot="1">
      <c r="A14" s="20"/>
      <c r="B14" s="27" t="s">
        <v>18</v>
      </c>
      <c r="C14" s="21">
        <v>0</v>
      </c>
      <c r="D14" s="21">
        <v>0</v>
      </c>
      <c r="E14" s="21">
        <v>0</v>
      </c>
      <c r="F14" s="40" t="s">
        <v>23</v>
      </c>
      <c r="G14" s="40" t="s">
        <v>28</v>
      </c>
      <c r="H14" s="40" t="s">
        <v>23</v>
      </c>
      <c r="I14" s="21">
        <v>0</v>
      </c>
      <c r="J14" s="21">
        <v>0</v>
      </c>
      <c r="K14" s="21">
        <v>0</v>
      </c>
      <c r="L14" s="21">
        <v>0</v>
      </c>
      <c r="M14" s="36">
        <v>0</v>
      </c>
    </row>
    <row r="15" spans="1:10" ht="25.5" customHeight="1">
      <c r="A15" s="26" t="s">
        <v>30</v>
      </c>
      <c r="B15" s="12" t="s">
        <v>25</v>
      </c>
      <c r="C15" s="13" t="s">
        <v>24</v>
      </c>
      <c r="D15" s="13"/>
      <c r="E15" s="13"/>
      <c r="F15" s="13"/>
      <c r="G15" s="13"/>
      <c r="H15" s="13"/>
      <c r="I15" s="13"/>
      <c r="J15" s="13"/>
    </row>
    <row r="16" spans="1:10" ht="25.5" customHeight="1">
      <c r="A16" s="11"/>
      <c r="B16" s="12" t="s">
        <v>26</v>
      </c>
      <c r="C16" s="13" t="s">
        <v>23</v>
      </c>
      <c r="D16" s="13"/>
      <c r="E16" s="13"/>
      <c r="F16" s="13"/>
      <c r="G16" s="13"/>
      <c r="H16" s="13"/>
      <c r="I16" s="13"/>
      <c r="J16" s="13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2">
    <mergeCell ref="H1:K1"/>
    <mergeCell ref="H2:K2"/>
  </mergeCells>
  <printOptions/>
  <pageMargins left="0.6" right="0.27" top="1" bottom="0.34" header="0.3" footer="0.24"/>
  <pageSetup horizontalDpi="300" verticalDpi="300" orientation="landscape" scale="80" r:id="rId3"/>
  <headerFooter alignWithMargins="0">
    <oddHeader xml:space="preserve">&amp;C&amp;"-,Bold"&amp;14ESTIMATED COSTS FOR INFORMATION ACCESS LAW
Dự toán chi phí của Luật tiếp cận thông tin </oddHeader>
    <oddFooter>&amp;L&amp;D&amp;CPage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="95" zoomScaleNormal="95" zoomScalePageLayoutView="9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8" sqref="E8"/>
    </sheetView>
  </sheetViews>
  <sheetFormatPr defaultColWidth="8.8515625" defaultRowHeight="15"/>
  <cols>
    <col min="1" max="1" width="7.421875" style="1" bestFit="1" customWidth="1"/>
    <col min="2" max="2" width="19.140625" style="1" bestFit="1" customWidth="1"/>
    <col min="3" max="3" width="12.421875" style="1" bestFit="1" customWidth="1"/>
    <col min="4" max="4" width="11.421875" style="1" bestFit="1" customWidth="1"/>
    <col min="5" max="5" width="17.421875" style="1" bestFit="1" customWidth="1"/>
    <col min="6" max="6" width="9.421875" style="1" bestFit="1" customWidth="1"/>
    <col min="7" max="7" width="13.00390625" style="1" bestFit="1" customWidth="1"/>
    <col min="8" max="8" width="15.140625" style="1" bestFit="1" customWidth="1"/>
    <col min="9" max="9" width="15.00390625" style="1" bestFit="1" customWidth="1"/>
    <col min="10" max="10" width="12.00390625" style="1" bestFit="1" customWidth="1"/>
    <col min="11" max="16384" width="8.8515625" style="1" customWidth="1"/>
  </cols>
  <sheetData>
    <row r="1" spans="1:10" s="32" customFormat="1" ht="43.5" customHeight="1">
      <c r="A1" s="29" t="s">
        <v>0</v>
      </c>
      <c r="B1" s="30" t="s">
        <v>47</v>
      </c>
      <c r="C1" s="30" t="s">
        <v>29</v>
      </c>
      <c r="D1" s="31" t="s">
        <v>35</v>
      </c>
      <c r="E1" s="31" t="s">
        <v>52</v>
      </c>
      <c r="F1" s="30" t="s">
        <v>32</v>
      </c>
      <c r="G1" s="31" t="s">
        <v>33</v>
      </c>
      <c r="H1" s="31" t="s">
        <v>34</v>
      </c>
      <c r="I1" s="31" t="s">
        <v>36</v>
      </c>
      <c r="J1" s="41" t="s">
        <v>37</v>
      </c>
    </row>
    <row r="2" spans="1:10" s="28" customFormat="1" ht="33.75" customHeight="1">
      <c r="A2" s="34" t="s">
        <v>19</v>
      </c>
      <c r="B2" s="10" t="s">
        <v>48</v>
      </c>
      <c r="C2" s="10" t="s">
        <v>38</v>
      </c>
      <c r="D2" s="35" t="s">
        <v>39</v>
      </c>
      <c r="E2" s="35" t="s">
        <v>66</v>
      </c>
      <c r="F2" s="10" t="s">
        <v>40</v>
      </c>
      <c r="G2" s="35" t="s">
        <v>41</v>
      </c>
      <c r="H2" s="35" t="s">
        <v>44</v>
      </c>
      <c r="I2" s="35" t="s">
        <v>42</v>
      </c>
      <c r="J2" s="42" t="s">
        <v>43</v>
      </c>
    </row>
    <row r="3" spans="1:10" ht="23.25" customHeight="1">
      <c r="A3" s="33">
        <v>1</v>
      </c>
      <c r="B3" s="5" t="s">
        <v>17</v>
      </c>
      <c r="C3" s="4"/>
      <c r="D3" s="4"/>
      <c r="E3" s="4"/>
      <c r="F3" s="4"/>
      <c r="G3" s="4"/>
      <c r="H3" s="4"/>
      <c r="I3" s="5"/>
      <c r="J3" s="43"/>
    </row>
    <row r="4" spans="1:10" ht="23.25" customHeight="1">
      <c r="A4" s="18"/>
      <c r="B4" s="7" t="s">
        <v>18</v>
      </c>
      <c r="C4" s="6"/>
      <c r="D4" s="6"/>
      <c r="E4" s="6"/>
      <c r="F4" s="6"/>
      <c r="G4" s="6"/>
      <c r="H4" s="6"/>
      <c r="I4" s="7"/>
      <c r="J4" s="44"/>
    </row>
    <row r="5" spans="1:10" ht="23.25" customHeight="1">
      <c r="A5" s="18">
        <v>2</v>
      </c>
      <c r="B5" s="7" t="s">
        <v>17</v>
      </c>
      <c r="C5" s="6" t="s">
        <v>24</v>
      </c>
      <c r="D5" s="6">
        <v>0</v>
      </c>
      <c r="E5" s="6" t="s">
        <v>24</v>
      </c>
      <c r="F5" s="6" t="s">
        <v>24</v>
      </c>
      <c r="G5" s="6" t="s">
        <v>28</v>
      </c>
      <c r="H5" s="6" t="s">
        <v>24</v>
      </c>
      <c r="I5" s="6" t="s">
        <v>24</v>
      </c>
      <c r="J5" s="19" t="s">
        <v>24</v>
      </c>
    </row>
    <row r="6" spans="1:10" ht="23.25" customHeight="1">
      <c r="A6" s="18"/>
      <c r="B6" s="7" t="s">
        <v>18</v>
      </c>
      <c r="C6" s="6" t="s">
        <v>24</v>
      </c>
      <c r="D6" s="6" t="s">
        <v>24</v>
      </c>
      <c r="E6" s="37" t="s">
        <v>23</v>
      </c>
      <c r="F6" s="6" t="s">
        <v>24</v>
      </c>
      <c r="G6" s="37" t="s">
        <v>23</v>
      </c>
      <c r="H6" s="6" t="s">
        <v>24</v>
      </c>
      <c r="I6" s="6" t="s">
        <v>24</v>
      </c>
      <c r="J6" s="38" t="s">
        <v>23</v>
      </c>
    </row>
    <row r="7" spans="1:10" ht="23.25" customHeight="1">
      <c r="A7" s="18">
        <v>3</v>
      </c>
      <c r="B7" s="7" t="s">
        <v>17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19">
        <v>0</v>
      </c>
    </row>
    <row r="8" spans="1:10" ht="23.25" customHeight="1">
      <c r="A8" s="18"/>
      <c r="B8" s="7" t="s">
        <v>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9">
        <v>0</v>
      </c>
    </row>
    <row r="9" spans="1:10" ht="23.25" customHeight="1">
      <c r="A9" s="18" t="s">
        <v>54</v>
      </c>
      <c r="B9" s="7" t="s">
        <v>17</v>
      </c>
      <c r="C9" s="6" t="s">
        <v>24</v>
      </c>
      <c r="D9" s="6">
        <v>0</v>
      </c>
      <c r="E9" s="6" t="s">
        <v>24</v>
      </c>
      <c r="F9" s="6" t="s">
        <v>24</v>
      </c>
      <c r="G9" s="6" t="s">
        <v>24</v>
      </c>
      <c r="H9" s="6" t="s">
        <v>24</v>
      </c>
      <c r="I9" s="6" t="s">
        <v>24</v>
      </c>
      <c r="J9" s="19" t="s">
        <v>24</v>
      </c>
    </row>
    <row r="10" spans="1:10" ht="23.25" customHeight="1">
      <c r="A10" s="18"/>
      <c r="B10" s="7" t="s">
        <v>18</v>
      </c>
      <c r="C10" s="6" t="s">
        <v>55</v>
      </c>
      <c r="D10" s="6" t="s">
        <v>55</v>
      </c>
      <c r="E10" s="6" t="s">
        <v>55</v>
      </c>
      <c r="F10" s="6" t="s">
        <v>55</v>
      </c>
      <c r="G10" s="6" t="s">
        <v>55</v>
      </c>
      <c r="H10" s="6" t="s">
        <v>55</v>
      </c>
      <c r="I10" s="6" t="s">
        <v>55</v>
      </c>
      <c r="J10" s="19" t="s">
        <v>55</v>
      </c>
    </row>
    <row r="11" spans="1:10" ht="23.25" customHeight="1">
      <c r="A11" s="18">
        <v>4</v>
      </c>
      <c r="B11" s="7" t="s">
        <v>17</v>
      </c>
      <c r="C11" s="6" t="s">
        <v>24</v>
      </c>
      <c r="D11" s="6">
        <v>0</v>
      </c>
      <c r="E11" s="6" t="s">
        <v>24</v>
      </c>
      <c r="F11" s="6" t="s">
        <v>24</v>
      </c>
      <c r="G11" s="6" t="s">
        <v>24</v>
      </c>
      <c r="H11" s="6" t="s">
        <v>24</v>
      </c>
      <c r="I11" s="6" t="s">
        <v>24</v>
      </c>
      <c r="J11" s="19" t="s">
        <v>24</v>
      </c>
    </row>
    <row r="12" spans="1:10" ht="23.25" customHeight="1">
      <c r="A12" s="18"/>
      <c r="B12" s="7" t="s">
        <v>18</v>
      </c>
      <c r="C12" s="6" t="s">
        <v>24</v>
      </c>
      <c r="D12" s="6" t="s">
        <v>55</v>
      </c>
      <c r="E12" s="6" t="s">
        <v>55</v>
      </c>
      <c r="F12" s="6" t="s">
        <v>55</v>
      </c>
      <c r="G12" s="6" t="s">
        <v>55</v>
      </c>
      <c r="H12" s="6" t="s">
        <v>55</v>
      </c>
      <c r="I12" s="6" t="s">
        <v>55</v>
      </c>
      <c r="J12" s="19" t="s">
        <v>55</v>
      </c>
    </row>
    <row r="13" spans="1:10" ht="23.25" customHeight="1">
      <c r="A13" s="18" t="s">
        <v>56</v>
      </c>
      <c r="B13" s="7" t="s">
        <v>17</v>
      </c>
      <c r="C13" s="6" t="s">
        <v>24</v>
      </c>
      <c r="D13" s="6">
        <v>0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19" t="s">
        <v>24</v>
      </c>
    </row>
    <row r="14" spans="1:10" ht="23.25" customHeight="1">
      <c r="A14" s="18"/>
      <c r="B14" s="7" t="s">
        <v>18</v>
      </c>
      <c r="C14" s="6" t="s">
        <v>24</v>
      </c>
      <c r="D14" s="6" t="s">
        <v>55</v>
      </c>
      <c r="E14" s="6" t="s">
        <v>55</v>
      </c>
      <c r="F14" s="6" t="s">
        <v>55</v>
      </c>
      <c r="G14" s="6" t="s">
        <v>55</v>
      </c>
      <c r="H14" s="6" t="s">
        <v>55</v>
      </c>
      <c r="I14" s="6" t="s">
        <v>55</v>
      </c>
      <c r="J14" s="19" t="s">
        <v>55</v>
      </c>
    </row>
    <row r="15" spans="1:11" ht="23.25" customHeight="1">
      <c r="A15" s="18">
        <v>5</v>
      </c>
      <c r="B15" s="7" t="s">
        <v>17</v>
      </c>
      <c r="C15" s="6" t="s">
        <v>24</v>
      </c>
      <c r="D15" s="6" t="s">
        <v>24</v>
      </c>
      <c r="E15" s="6" t="s">
        <v>24</v>
      </c>
      <c r="F15" s="6" t="s">
        <v>24</v>
      </c>
      <c r="G15" s="6" t="s">
        <v>24</v>
      </c>
      <c r="H15" s="6" t="s">
        <v>24</v>
      </c>
      <c r="I15" s="6" t="s">
        <v>24</v>
      </c>
      <c r="J15" s="19" t="s">
        <v>24</v>
      </c>
      <c r="K15" s="1" t="s">
        <v>57</v>
      </c>
    </row>
    <row r="16" spans="1:11" ht="23.25" customHeight="1" thickBot="1">
      <c r="A16" s="20"/>
      <c r="B16" s="27" t="s">
        <v>18</v>
      </c>
      <c r="C16" s="21" t="s">
        <v>24</v>
      </c>
      <c r="D16" s="21" t="s">
        <v>24</v>
      </c>
      <c r="E16" s="21" t="s">
        <v>24</v>
      </c>
      <c r="F16" s="21" t="s">
        <v>24</v>
      </c>
      <c r="G16" s="21" t="s">
        <v>24</v>
      </c>
      <c r="H16" s="21" t="s">
        <v>24</v>
      </c>
      <c r="I16" s="21" t="s">
        <v>24</v>
      </c>
      <c r="J16" s="36" t="s">
        <v>24</v>
      </c>
      <c r="K16" s="1" t="s">
        <v>59</v>
      </c>
    </row>
    <row r="17" spans="1:7" ht="23.25" customHeight="1">
      <c r="A17" s="26" t="s">
        <v>30</v>
      </c>
      <c r="B17" s="12" t="s">
        <v>25</v>
      </c>
      <c r="C17" s="13" t="s">
        <v>24</v>
      </c>
      <c r="D17" s="13"/>
      <c r="E17" s="13"/>
      <c r="F17" s="13"/>
      <c r="G17" s="13"/>
    </row>
    <row r="18" spans="1:7" ht="23.25" customHeight="1">
      <c r="A18" s="11"/>
      <c r="B18" s="12" t="s">
        <v>26</v>
      </c>
      <c r="C18" s="13" t="s">
        <v>23</v>
      </c>
      <c r="D18" s="13"/>
      <c r="E18" s="13"/>
      <c r="F18" s="13"/>
      <c r="G18" s="13"/>
    </row>
    <row r="19" ht="23.25" customHeight="1"/>
    <row r="20" ht="23.25" customHeight="1"/>
    <row r="21" ht="23.25" customHeight="1"/>
  </sheetData>
  <sheetProtection/>
  <printOptions/>
  <pageMargins left="0.45" right="0.28" top="0.96" bottom="0.75" header="0.3" footer="0.3"/>
  <pageSetup horizontalDpi="300" verticalDpi="300" orientation="landscape" r:id="rId1"/>
  <headerFooter alignWithMargins="0">
    <oddHeader>&amp;CESTIMATED BENEFITS FOR INFORMATION ACCESS LAW
Dự toán lợi ích của Luật tiếp cận thông tin</oddHeader>
    <oddFooter>&amp;L&amp;D&amp;CPage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PVo</dc:creator>
  <cp:keywords/>
  <dc:description/>
  <cp:lastModifiedBy>User</cp:lastModifiedBy>
  <cp:lastPrinted>2015-08-07T12:02:55Z</cp:lastPrinted>
  <dcterms:created xsi:type="dcterms:W3CDTF">2009-06-24T09:07:18Z</dcterms:created>
  <dcterms:modified xsi:type="dcterms:W3CDTF">2015-08-07T12:06:43Z</dcterms:modified>
  <cp:category/>
  <cp:version/>
  <cp:contentType/>
  <cp:contentStatus/>
</cp:coreProperties>
</file>